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4415" windowHeight="15180" tabRatio="1000"/>
  </bookViews>
  <sheets>
    <sheet name="Skupna rek" sheetId="16" r:id="rId1"/>
    <sheet name="1.faza-meteorna" sheetId="10" r:id="rId2"/>
    <sheet name="1.faza-drenaže" sheetId="17" r:id="rId3"/>
    <sheet name="1.faza-mulda" sheetId="19" r:id="rId4"/>
    <sheet name="2.faza-drenaže" sheetId="22" r:id="rId5"/>
    <sheet name="baza-meteorna kolicine" sheetId="7" r:id="rId6"/>
    <sheet name="baza-mulda kolicine" sheetId="20" r:id="rId7"/>
  </sheets>
  <definedNames>
    <definedName name="_xlnm.Print_Area" localSheetId="2">'1.faza-drenaže'!$A$1:$F$44</definedName>
    <definedName name="_xlnm.Print_Area" localSheetId="1">'1.faza-meteorna'!$A$1:$F$96</definedName>
    <definedName name="_xlnm.Print_Area" localSheetId="3">'1.faza-mulda'!$A$1:$F$47</definedName>
    <definedName name="_xlnm.Print_Area" localSheetId="4">'2.faza-drenaže'!$A$1:$F$42</definedName>
    <definedName name="_xlnm.Print_Area" localSheetId="6">'baza-mulda kolicine'!$A$1:$M$28</definedName>
    <definedName name="_xlnm.Print_Area" localSheetId="0">'Skupna rek'!$A$1:$C$49</definedName>
  </definedNames>
  <calcPr calcId="145621"/>
</workbook>
</file>

<file path=xl/calcChain.xml><?xml version="1.0" encoding="utf-8"?>
<calcChain xmlns="http://schemas.openxmlformats.org/spreadsheetml/2006/main">
  <c r="F83" i="10" l="1"/>
  <c r="F79" i="10"/>
  <c r="F81" i="10"/>
  <c r="F73" i="10"/>
  <c r="F75" i="10"/>
  <c r="F40" i="10"/>
  <c r="F38" i="10"/>
  <c r="F12" i="10"/>
  <c r="F14" i="10"/>
  <c r="F31" i="22"/>
  <c r="F30" i="22"/>
  <c r="F29" i="22"/>
  <c r="F22" i="22"/>
  <c r="F21" i="22"/>
  <c r="F20" i="22"/>
  <c r="F19" i="22"/>
  <c r="F18" i="22"/>
  <c r="F17" i="22"/>
  <c r="F16" i="22"/>
  <c r="F15" i="22"/>
  <c r="F14" i="22"/>
  <c r="F7" i="22"/>
  <c r="F6" i="22"/>
  <c r="E24" i="20"/>
  <c r="F24" i="20"/>
  <c r="G24" i="20"/>
  <c r="H24" i="20"/>
  <c r="I24" i="20"/>
  <c r="C27" i="20"/>
  <c r="D27" i="20"/>
  <c r="E27" i="20"/>
  <c r="D21" i="19" s="1"/>
  <c r="F21" i="19" s="1"/>
  <c r="F27" i="20"/>
  <c r="G27" i="20"/>
  <c r="D28" i="19" s="1"/>
  <c r="F28" i="19" s="1"/>
  <c r="H27" i="20"/>
  <c r="I27" i="20"/>
  <c r="J27" i="20"/>
  <c r="D24" i="19" s="1"/>
  <c r="F24" i="19" s="1"/>
  <c r="K27" i="20"/>
  <c r="D36" i="19" s="1"/>
  <c r="F36" i="19" s="1"/>
  <c r="L27" i="20"/>
  <c r="E29" i="20"/>
  <c r="E30" i="20"/>
  <c r="D18" i="19"/>
  <c r="F18" i="19" s="1"/>
  <c r="D32" i="19"/>
  <c r="F32" i="19" s="1"/>
  <c r="F43" i="19"/>
  <c r="F6" i="17"/>
  <c r="F7" i="17"/>
  <c r="F14" i="17"/>
  <c r="F15" i="17"/>
  <c r="F16" i="17"/>
  <c r="F17" i="17"/>
  <c r="F18" i="17"/>
  <c r="F19" i="17"/>
  <c r="F20" i="17"/>
  <c r="F21" i="17"/>
  <c r="F22" i="17"/>
  <c r="F23" i="17"/>
  <c r="F24" i="17"/>
  <c r="F31" i="17"/>
  <c r="F32" i="17"/>
  <c r="F33" i="17"/>
  <c r="F51" i="10"/>
  <c r="F59" i="10"/>
  <c r="F47" i="10"/>
  <c r="F48" i="10"/>
  <c r="F8" i="17" l="1"/>
  <c r="F10" i="17" s="1"/>
  <c r="D40" i="19"/>
  <c r="F40" i="19" s="1"/>
  <c r="F45" i="19" s="1"/>
  <c r="E31" i="20"/>
  <c r="F8" i="22"/>
  <c r="F10" i="22" s="1"/>
  <c r="F32" i="22"/>
  <c r="F39" i="22" s="1"/>
  <c r="G22" i="22"/>
  <c r="F23" i="22" s="1"/>
  <c r="F24" i="22" s="1"/>
  <c r="F39" i="17"/>
  <c r="F34" i="17"/>
  <c r="F41" i="17" s="1"/>
  <c r="G24" i="17"/>
  <c r="F25" i="17" s="1"/>
  <c r="F37" i="22" l="1"/>
  <c r="F9" i="22"/>
  <c r="F9" i="17"/>
  <c r="F34" i="22"/>
  <c r="F33" i="22"/>
  <c r="F36" i="17"/>
  <c r="F35" i="17"/>
  <c r="F25" i="22"/>
  <c r="F38" i="22"/>
  <c r="F40" i="22" s="1"/>
  <c r="F26" i="22"/>
  <c r="F26" i="17"/>
  <c r="F28" i="17" s="1"/>
  <c r="C14" i="16"/>
  <c r="F46" i="19"/>
  <c r="F47" i="19" s="1"/>
  <c r="F41" i="22" l="1"/>
  <c r="F42" i="22" s="1"/>
  <c r="C28" i="16"/>
  <c r="C31" i="16" s="1"/>
  <c r="C32" i="16" s="1"/>
  <c r="C33" i="16" s="1"/>
  <c r="F40" i="17"/>
  <c r="F42" i="17" s="1"/>
  <c r="C13" i="16" s="1"/>
  <c r="F27" i="17"/>
  <c r="E31" i="7"/>
  <c r="D41" i="7"/>
  <c r="C48" i="7"/>
  <c r="M16" i="7"/>
  <c r="C11" i="7"/>
  <c r="M10" i="7" s="1"/>
  <c r="D21" i="7"/>
  <c r="D20" i="7"/>
  <c r="F20" i="7" s="1"/>
  <c r="G20" i="7" s="1"/>
  <c r="D18" i="7"/>
  <c r="F18" i="7" s="1"/>
  <c r="H18" i="7" s="1"/>
  <c r="D29" i="7"/>
  <c r="F29" i="7" s="1"/>
  <c r="G29" i="7" s="1"/>
  <c r="D27" i="7"/>
  <c r="F27" i="7" s="1"/>
  <c r="G27" i="7" s="1"/>
  <c r="D23" i="7"/>
  <c r="F23" i="7" s="1"/>
  <c r="G23" i="7" s="1"/>
  <c r="D38" i="7"/>
  <c r="A31" i="7"/>
  <c r="D10" i="10" s="1"/>
  <c r="F10" i="10" s="1"/>
  <c r="E48" i="7"/>
  <c r="F55" i="10"/>
  <c r="F57" i="10"/>
  <c r="I31" i="7"/>
  <c r="E38" i="7" s="1"/>
  <c r="M22" i="7"/>
  <c r="F9" i="7"/>
  <c r="G9" i="7" s="1"/>
  <c r="D11" i="7"/>
  <c r="D12" i="7"/>
  <c r="D14" i="7"/>
  <c r="F14" i="7" s="1"/>
  <c r="D15" i="7"/>
  <c r="F15" i="7" s="1"/>
  <c r="H15" i="7" s="1"/>
  <c r="D17" i="7"/>
  <c r="C47" i="7"/>
  <c r="A89" i="10"/>
  <c r="B89" i="10"/>
  <c r="A90" i="10"/>
  <c r="B90" i="10"/>
  <c r="A91" i="10"/>
  <c r="B91" i="10"/>
  <c r="A92" i="10"/>
  <c r="B92" i="10"/>
  <c r="F53" i="10"/>
  <c r="F61" i="10"/>
  <c r="M28" i="7"/>
  <c r="F21" i="7"/>
  <c r="G21" i="7" s="1"/>
  <c r="M19" i="7"/>
  <c r="F17" i="7"/>
  <c r="G17" i="7" s="1"/>
  <c r="M13" i="7"/>
  <c r="J22" i="7" l="1"/>
  <c r="F43" i="17"/>
  <c r="F44" i="17" s="1"/>
  <c r="F38" i="7"/>
  <c r="F11" i="7"/>
  <c r="H11" i="7" s="1"/>
  <c r="J28" i="7"/>
  <c r="G14" i="7"/>
  <c r="H14" i="7"/>
  <c r="H21" i="7"/>
  <c r="H9" i="7"/>
  <c r="H20" i="7"/>
  <c r="H29" i="7"/>
  <c r="F48" i="7"/>
  <c r="H27" i="7"/>
  <c r="H17" i="7"/>
  <c r="K16" i="7" s="1"/>
  <c r="H23" i="7"/>
  <c r="F49" i="10"/>
  <c r="F63" i="10" s="1"/>
  <c r="F91" i="10" s="1"/>
  <c r="D67" i="10"/>
  <c r="D69" i="10" s="1"/>
  <c r="F69" i="10" s="1"/>
  <c r="J43" i="7"/>
  <c r="E47" i="7"/>
  <c r="F47" i="7" s="1"/>
  <c r="D8" i="10"/>
  <c r="F8" i="10" s="1"/>
  <c r="F16" i="10" s="1"/>
  <c r="F89" i="10" s="1"/>
  <c r="E41" i="7"/>
  <c r="F41" i="7" s="1"/>
  <c r="L22" i="7"/>
  <c r="F12" i="7"/>
  <c r="G18" i="7"/>
  <c r="J19" i="7" s="1"/>
  <c r="L19" i="7"/>
  <c r="L28" i="7"/>
  <c r="L16" i="7"/>
  <c r="G15" i="7"/>
  <c r="M31" i="7"/>
  <c r="D30" i="10" s="1"/>
  <c r="F30" i="10" s="1"/>
  <c r="F49" i="7" l="1"/>
  <c r="K10" i="7"/>
  <c r="G11" i="7"/>
  <c r="L10" i="7"/>
  <c r="G12" i="7"/>
  <c r="H12" i="7"/>
  <c r="K13" i="7" s="1"/>
  <c r="J31" i="7"/>
  <c r="D77" i="10"/>
  <c r="F77" i="10" s="1"/>
  <c r="F67" i="10"/>
  <c r="L13" i="7"/>
  <c r="D34" i="10"/>
  <c r="F34" i="10" s="1"/>
  <c r="K31" i="7" l="1"/>
  <c r="D71" i="10" s="1"/>
  <c r="F71" i="10" s="1"/>
  <c r="L31" i="7"/>
  <c r="L34" i="7" s="1"/>
  <c r="L37" i="7" s="1"/>
  <c r="F84" i="10"/>
  <c r="F92" i="10" s="1"/>
  <c r="D20" i="10"/>
  <c r="L33" i="7"/>
  <c r="L38" i="7" l="1"/>
  <c r="D26" i="10" s="1"/>
  <c r="F26" i="10" s="1"/>
  <c r="F46" i="7"/>
  <c r="L35" i="7"/>
  <c r="D28" i="10" s="1"/>
  <c r="F28" i="10" s="1"/>
  <c r="F50" i="7"/>
  <c r="D32" i="10"/>
  <c r="F32" i="10" s="1"/>
  <c r="D24" i="10"/>
  <c r="F24" i="10" s="1"/>
  <c r="F20" i="10"/>
  <c r="D22" i="10"/>
  <c r="F22" i="10" s="1"/>
  <c r="F51" i="7" l="1"/>
  <c r="F36" i="10" s="1"/>
  <c r="F42" i="10" s="1"/>
  <c r="F90" i="10" s="1"/>
  <c r="F93" i="10" s="1"/>
  <c r="L40" i="7"/>
  <c r="F94" i="10" l="1"/>
  <c r="F95" i="10" s="1"/>
  <c r="C12" i="16"/>
  <c r="C17" i="16" s="1"/>
  <c r="C18" i="16" l="1"/>
  <c r="C19" i="16" s="1"/>
  <c r="C42" i="16"/>
  <c r="C43" i="16" l="1"/>
  <c r="C44" i="16" s="1"/>
</calcChain>
</file>

<file path=xl/comments1.xml><?xml version="1.0" encoding="utf-8"?>
<comments xmlns="http://schemas.openxmlformats.org/spreadsheetml/2006/main">
  <authors>
    <author>HP</author>
  </authors>
  <commentList>
    <comment ref="B47" authorId="0">
      <text>
        <r>
          <rPr>
            <b/>
            <sz val="9"/>
            <color indexed="81"/>
            <rFont val="Tahoma"/>
            <family val="2"/>
            <charset val="238"/>
          </rPr>
          <t>ročno</t>
        </r>
      </text>
    </comment>
    <comment ref="B48" authorId="0">
      <text>
        <r>
          <rPr>
            <b/>
            <sz val="9"/>
            <color indexed="81"/>
            <rFont val="Tahoma"/>
            <family val="2"/>
            <charset val="238"/>
          </rPr>
          <t>ročno</t>
        </r>
      </text>
    </comment>
    <comment ref="B49" authorId="0">
      <text>
        <r>
          <rPr>
            <b/>
            <sz val="9"/>
            <color indexed="81"/>
            <rFont val="Tahoma"/>
            <family val="2"/>
            <charset val="238"/>
          </rPr>
          <t>ročno</t>
        </r>
      </text>
    </comment>
    <comment ref="D61" authorId="0">
      <text>
        <r>
          <rPr>
            <b/>
            <sz val="9"/>
            <color indexed="81"/>
            <rFont val="Tahoma"/>
            <family val="2"/>
            <charset val="238"/>
          </rPr>
          <t>ročno</t>
        </r>
      </text>
    </comment>
  </commentList>
</comments>
</file>

<file path=xl/sharedStrings.xml><?xml version="1.0" encoding="utf-8"?>
<sst xmlns="http://schemas.openxmlformats.org/spreadsheetml/2006/main" count="439" uniqueCount="244">
  <si>
    <t>I.</t>
  </si>
  <si>
    <t>II.</t>
  </si>
  <si>
    <t>III.</t>
  </si>
  <si>
    <t>IV.</t>
  </si>
  <si>
    <t>Postavitev gradbenih profilov na vzpostavljeno os trase kanala, ter določitev nivoja za merjenje globine izkopa in polaganja kanala.</t>
  </si>
  <si>
    <t>kom</t>
  </si>
  <si>
    <t>ocena</t>
  </si>
  <si>
    <t>OPIS DEL</t>
  </si>
  <si>
    <t>ŠIFRA</t>
  </si>
  <si>
    <t>Enota</t>
  </si>
  <si>
    <t>Količina</t>
  </si>
  <si>
    <t>Cena/enoto</t>
  </si>
  <si>
    <t>Znesek</t>
  </si>
  <si>
    <t>Zakoličba obstoječih komunalnih vodov. Obračun po dejanskih stroških, ocena stroškov</t>
  </si>
  <si>
    <t>PRIPRAVLJALNA DELA</t>
  </si>
  <si>
    <t>m1</t>
  </si>
  <si>
    <t>ZEMELJSKA DELA</t>
  </si>
  <si>
    <t>Rušenje asfalta s strojnim rezanjem robov, odstranitvijo spodnjega ustroja in odvozom ruševin .</t>
  </si>
  <si>
    <t xml:space="preserve">Ročno planiranje dna jarka s točnostjo +/-
1 cm po projektiranem padcu.
</t>
  </si>
  <si>
    <t>ZEMELJSKA DELA - SKUPAJ</t>
  </si>
  <si>
    <t>GRADBENA DELA</t>
  </si>
  <si>
    <t xml:space="preserve">GRADBENA DELA - SKUPAJ                                                                                </t>
  </si>
  <si>
    <t>ZAKLJUČNA DELA</t>
  </si>
  <si>
    <t>Tlačni   preizkus   vodotesnosti   položenih kanaliz. cevi po navodilih proizvajalca in projektanta.</t>
  </si>
  <si>
    <t>Humusiranje  in  zatravitev  po  končanih delih</t>
  </si>
  <si>
    <t>Projektantski nadzor</t>
  </si>
  <si>
    <t>Čiščenje in planiranje terena po končani gradnji.</t>
  </si>
  <si>
    <t>ZAKLJUČNA DELA - SKUPAJ</t>
  </si>
  <si>
    <t>širina dna izkopa</t>
  </si>
  <si>
    <t>naklon izkopa</t>
  </si>
  <si>
    <t>globina izkopa</t>
  </si>
  <si>
    <t>širina izkopa zgoraj</t>
  </si>
  <si>
    <t>asfalt</t>
  </si>
  <si>
    <t>razdalja med jaški</t>
  </si>
  <si>
    <t>SKUPAJ KOLIČINE</t>
  </si>
  <si>
    <t>humus 30cm</t>
  </si>
  <si>
    <t>m2</t>
  </si>
  <si>
    <t>m3</t>
  </si>
  <si>
    <t>izkop + dodaten izkop za jašek</t>
  </si>
  <si>
    <t>ZASIP Z DROBNIM GRAMOZOM</t>
  </si>
  <si>
    <t>CEVI</t>
  </si>
  <si>
    <t>debelina</t>
  </si>
  <si>
    <t>m3/m1</t>
  </si>
  <si>
    <t>DODATEK ZA JAŠEK</t>
  </si>
  <si>
    <t>m3/kom</t>
  </si>
  <si>
    <t>IZKOP</t>
  </si>
  <si>
    <t>DROBNI GRAMOZ</t>
  </si>
  <si>
    <t>JAŠKI</t>
  </si>
  <si>
    <t>Izmera kanala in vnos v kataster</t>
  </si>
  <si>
    <t>planiranje dna</t>
  </si>
  <si>
    <t>IZKOP V kat.</t>
  </si>
  <si>
    <t>ODVOZ IZKOPA NA DEPONIJO</t>
  </si>
  <si>
    <t xml:space="preserve">Dodatek  za delno  ali  v  celoti  opažen
izkop.
</t>
  </si>
  <si>
    <t>Oznaka jaška</t>
  </si>
  <si>
    <t>Čiščenje kanala in pregled s TV kamero po končanih delih.</t>
  </si>
  <si>
    <t>Izdelava načrta izvedenih del PID</t>
  </si>
  <si>
    <t>SKUPAJ PRIPRAVLJALNA DELA:</t>
  </si>
  <si>
    <t xml:space="preserve">Dobava 2 x sejanega peska in izdelava
posteljice deb. 15-20 cm, s planiranjem in strojnim utrjevanjem do 95% trdnosti po standardnem Proctorjevem postopku.
</t>
  </si>
  <si>
    <t>IZKOP III .</t>
  </si>
  <si>
    <t>Ponovno asfaltiranje z asfaltbetonom debeline 5+3 cm.</t>
  </si>
  <si>
    <t>SKUPAJ</t>
  </si>
  <si>
    <t>Šifra</t>
  </si>
  <si>
    <t>Opis dela</t>
  </si>
  <si>
    <t>Jašek (oz)=Dz št</t>
  </si>
  <si>
    <t>Zakoličenje osi kanalizacije z oznako revizijskih jaškov.</t>
  </si>
  <si>
    <t>ddv</t>
  </si>
  <si>
    <t>Priprava gradbišča: odstranitev eventuelnih ovir, postavitev prometnih znakov in ureditev delovnega platoja in začasnih dovoznih poti.</t>
  </si>
  <si>
    <t>REKAPITULACIJA</t>
  </si>
  <si>
    <t>Objekt:</t>
  </si>
  <si>
    <t>Investitor:</t>
  </si>
  <si>
    <t>Projekt:</t>
  </si>
  <si>
    <t>humus, pri cesti</t>
  </si>
  <si>
    <t>°</t>
  </si>
  <si>
    <t>Opravljanje        nadzora        s        strani pooblaščenega geomehanika. Obračun po dejanskih stroških.</t>
  </si>
  <si>
    <t>Črpanje talne vode.</t>
  </si>
  <si>
    <t xml:space="preserve">Zasip    kanala    z    materialom    začasno
deponiranim ob robu izkopa z nabijanjem
v debelini   do   20   cm.   Za   nasip
neposredno    ob    kanalu    30    cm    nad
temenom cevi se sme uporabiti pesek. V
danem primeru pod cesto se sme uporabiti
kvaliteten zasipni mat.. Posebno pozornost
posvetiti   komprimaciji   bočnega  zasipa;
zahtevna     zbitost     95%     po     standardnemu Proctorjevemu postopku.
</t>
  </si>
  <si>
    <t>DN</t>
  </si>
  <si>
    <t>Ostala   dodatna   in   nepredvidena   dela. Obračun po dejanskih stroških porabe časa in materiala po vpisu v gradbeni dnevnik. Ocena stroškov 3 % vrednosti del.</t>
  </si>
  <si>
    <t>S-F1</t>
  </si>
  <si>
    <t>l</t>
  </si>
  <si>
    <t>VRNJEN IZKOP DEPONIJE OB TRASI</t>
  </si>
  <si>
    <t>ODSTRANITEV ASFALTA</t>
  </si>
  <si>
    <t>DEPONIRANJE OB TRASI (III.k)</t>
  </si>
  <si>
    <t>ODVOZ NA DEPONIJO (III.k)</t>
  </si>
  <si>
    <t>POTREBNI TAMPON</t>
  </si>
  <si>
    <t>ZASIP Z OSTALIM MATERIALOM</t>
  </si>
  <si>
    <t xml:space="preserve">Dobava tampona s strojnim utrjevanjem do 95% trdnosti po standardnem Proctorjevem postopku.
</t>
  </si>
  <si>
    <t>LTŽ pokrov fi 600 mm, N = 400 kN  kompletno z betonsko ploščo na PE jaških.</t>
  </si>
  <si>
    <t>METEORNI KANAL KANAL</t>
  </si>
  <si>
    <t>ZEMELJSKA DELA  -  POPIS DEL</t>
  </si>
  <si>
    <t>izliv</t>
  </si>
  <si>
    <t>MJ1</t>
  </si>
  <si>
    <t>MJ2</t>
  </si>
  <si>
    <t>MJ3</t>
  </si>
  <si>
    <t>MJ4</t>
  </si>
  <si>
    <t>MJ5</t>
  </si>
  <si>
    <t>MJ1.1</t>
  </si>
  <si>
    <t>Široki strojni izkop jarka globine od 0 do 2 m v terenu V.kategorije z nakladanjem na kamion in deponiranjem na stalno deponijo do 2 km.</t>
  </si>
  <si>
    <t>Široki strojni izkop jarka globine od 0 do 2 m v terenu III.kategorije z nakladanjem na kamion in odvozom v začasno deponijo na razdaljo do 2 km.</t>
  </si>
  <si>
    <t>Široki strojni izkop jarka globine od 0 do 2 m v terenu III.kategorije z deponiranjem ob jarku, pripravljeno za zasip.</t>
  </si>
  <si>
    <t>Izdelava, transport in polaganje kanalizacije iz profiliranih - rebrastih PP (polipropilenskih) cevi na podolžno plast iz peska, klase SN 8, izdelane v skladu s standardom SIST EN 13476 TIP B, vključno s spojkami in tesnili.</t>
  </si>
  <si>
    <t>DN300</t>
  </si>
  <si>
    <t>DN400</t>
  </si>
  <si>
    <t>Prečkanje meteornega kanala in drenaže z ostalimi vodi: PTT, el.</t>
  </si>
  <si>
    <t>DN500</t>
  </si>
  <si>
    <t xml:space="preserve">REVIZIJSKI    JAŠEK    (PE)
povozne konstrukcije: fi 1000 mm, gl. do
1,00 m, s podložnim (AB) betonom C 20/25 in protivzgonsko zaščiten.
</t>
  </si>
  <si>
    <t xml:space="preserve">REVIZIJSKI    JAŠEK    (PE)
povozne konstrukcije: fi 800 mm, gl. do
1,00 m, s podložnim (AB) betonom C 20/25 in protivzgonsko zaščiten.
</t>
  </si>
  <si>
    <t>REVIZIJSKI JAŠEK S PESKOLOVOM (PE)
povozne konstrukcije: fi 800 mm, gl. do 1,50 m, s podložnim (AB) betonom C 20/25 in protivzgonsko zaščiten.</t>
  </si>
  <si>
    <t>brez DDV</t>
  </si>
  <si>
    <t>Ponudbena cena z DDV</t>
  </si>
  <si>
    <t>od tega DDV</t>
  </si>
  <si>
    <t>Neto cena:</t>
  </si>
  <si>
    <t>DOKUMENTACIJA</t>
  </si>
  <si>
    <t>3.</t>
  </si>
  <si>
    <t>GRADBENA IN ZEMELJSKA DELA</t>
  </si>
  <si>
    <t>2.</t>
  </si>
  <si>
    <t>1.</t>
  </si>
  <si>
    <t xml:space="preserve">REKAPITULACIJA STROŠKOV </t>
  </si>
  <si>
    <t>skupaj z DDV.</t>
  </si>
  <si>
    <t>DDV 22%</t>
  </si>
  <si>
    <t>skupaj dokumentacija brez DDV</t>
  </si>
  <si>
    <t>kos</t>
  </si>
  <si>
    <t>Dokazilo o zanesljivosti objekta</t>
  </si>
  <si>
    <t>Izdelava PID</t>
  </si>
  <si>
    <t>Geodetski posnetek</t>
  </si>
  <si>
    <t>skupaj z DDV</t>
  </si>
  <si>
    <t>skupaj gradbena in zemeljska dela brez DDV</t>
  </si>
  <si>
    <t>Nepredvidena dela (10% investicije)</t>
  </si>
  <si>
    <t>13.</t>
  </si>
  <si>
    <t xml:space="preserve">Planiranje terena, utrjevanje in zatravitev </t>
  </si>
  <si>
    <t>12.</t>
  </si>
  <si>
    <t>m</t>
  </si>
  <si>
    <t>Kompletna izvedba jaška fi 800 mm, z jeklenim pokrovom, globina 1 m</t>
  </si>
  <si>
    <t>8.</t>
  </si>
  <si>
    <t>Zasip jarka z izkopanim materialom</t>
  </si>
  <si>
    <t>7.</t>
  </si>
  <si>
    <t>Dobava in vgrajevanje drenažnega zasipa, granulacije 16 -32 mm, brez finih frakcij prani</t>
  </si>
  <si>
    <t>6.</t>
  </si>
  <si>
    <t>Dobava in vgradnja ločilnega geosintetika</t>
  </si>
  <si>
    <t>5.</t>
  </si>
  <si>
    <t>Dobava in vgradnja drenažne cevi  DN 200, 2/3 perf</t>
  </si>
  <si>
    <t>4.</t>
  </si>
  <si>
    <t>Dobava in vgradnja drenažne cevi  DN 100, 2/3 perf</t>
  </si>
  <si>
    <t>Ročno in delno strojno planiranje temeljnih tal</t>
  </si>
  <si>
    <t>Strojni izkop jarka v telesu plazu z odmetom na stran, material III. - IV. Kat.</t>
  </si>
  <si>
    <t>Drenaža 2 Faza</t>
  </si>
  <si>
    <t>2.2.</t>
  </si>
  <si>
    <t>11.</t>
  </si>
  <si>
    <t>Kompletna izvedba jaška fi 800 mm, z jeklenim pokrovom, globina 2,5 m</t>
  </si>
  <si>
    <t>10.</t>
  </si>
  <si>
    <t>Kompletna izvedba jaška fi 800 mm, z jeklenim pokrovom, globina 2 m</t>
  </si>
  <si>
    <t>9.</t>
  </si>
  <si>
    <t>Dobava in vgradnja drenažne cevi  DN 300, 2/3 perf</t>
  </si>
  <si>
    <t>Dobava in vgradnja drenažne cevi  DN 160, 2/3 perf</t>
  </si>
  <si>
    <t>Drenaža 1 Faza</t>
  </si>
  <si>
    <t>2.1.</t>
  </si>
  <si>
    <t>skupaj pripravljalna dela brez DDV</t>
  </si>
  <si>
    <t xml:space="preserve">Zakoličba osi </t>
  </si>
  <si>
    <t>pav.</t>
  </si>
  <si>
    <t>Ureditev delovišča in dostopnih poti</t>
  </si>
  <si>
    <t>skupaj cena</t>
  </si>
  <si>
    <t>cena/enoto</t>
  </si>
  <si>
    <t>količina</t>
  </si>
  <si>
    <t>enota</t>
  </si>
  <si>
    <t>opis</t>
  </si>
  <si>
    <t>poz.</t>
  </si>
  <si>
    <t>SKUPNA REKAPITULACIJA</t>
  </si>
  <si>
    <t>Sanacija plazovitih predelov v območju vodovoda in JP701201 Lahomno-Lahomšek</t>
  </si>
  <si>
    <t xml:space="preserve">OBČINA LAŠKO, Mestna ulica 2 , 3270 Laško </t>
  </si>
  <si>
    <t>17/10-14</t>
  </si>
  <si>
    <t>Obbetoniranje PP cevi med izlivom in jaškom M1 z betonom C10/15 debeline 12 cm</t>
  </si>
  <si>
    <t>Mulda</t>
  </si>
  <si>
    <t>Humuziranje zelenic ob cestišču s posejanjem trave. Dobava humusne zemljine z gradbiščne deponije, zemljina pridobljena ob izkopu.</t>
  </si>
  <si>
    <t>Humuziranje</t>
  </si>
  <si>
    <t>a.1.9./</t>
  </si>
  <si>
    <t>Dobava, prevoz in strojno vgrajevanje asfaltne prevleke v debelini 3 cm v muldo</t>
  </si>
  <si>
    <t>Asfaltbeton BB8s, d=3cm</t>
  </si>
  <si>
    <t>a.1.8./</t>
  </si>
  <si>
    <t>Dobava, prevoz in strojno vgrajevanje asfaltne prevleke v debelini 5 cm v muldo</t>
  </si>
  <si>
    <t>Asfaltbeton bitudrobir BD22, d=5cm</t>
  </si>
  <si>
    <t>a.1.7./</t>
  </si>
  <si>
    <t>Kompletna izdelava gramozne podloge pod asfaltno prevleko, z dobavo gramoznega materiala granulacije 0 - 32 mm, vključno z razgrinjanjem, planiranjem in utrjevanjem do predpisane zbitosti. Gramozna podloga debeline 20 cm.</t>
  </si>
  <si>
    <t>Gramozna podlaga iz gramoza</t>
  </si>
  <si>
    <t>a.1.6./</t>
  </si>
  <si>
    <t>Kompletna izdelava gramozne podloge pod asfaltno prevleko, z dobavo gramoznega materiala granulacije 0 - 100 mm, vključno z razgrinjanjem, planiranjem in utrjevanjem do predpisane zbitosti. Gramozna podloga debeline 30 cm.</t>
  </si>
  <si>
    <t>a.1.5./</t>
  </si>
  <si>
    <t>a.1.4./</t>
  </si>
  <si>
    <t>a.1.3./</t>
  </si>
  <si>
    <t>Geodetska dela</t>
  </si>
  <si>
    <t>a.1.2./</t>
  </si>
  <si>
    <t>Zaščito gradbeno jame je upoštevati posebej, po pogojih geomehanskega poročila.</t>
  </si>
  <si>
    <t>Čiščenje terena pred pričetkom izkopa mora biti zajeto v pripravljalnih delih</t>
  </si>
  <si>
    <t>Eventuelna prestavitev le teh se obračunava po dejansko izvršenih delih in so predmet posebnega predračuna.</t>
  </si>
  <si>
    <t>Pred izkopom gradbene jame je potrebno preveriti , če je zemljišče prosto vseh komunalnih  vodov kot je :elektrika, voda, kanalizacija, telefon, kanalizacija ...</t>
  </si>
  <si>
    <t>Pripravljalna in pospravljalna dela so element prodajne cene.</t>
  </si>
  <si>
    <t>Vsa zemeljska dela kot so izkopi, zasipi in podobno se morajo izvajati po določilih tehničnih predpisov in skladno z navodili na osnovi geotehničnega poročila.</t>
  </si>
  <si>
    <t>Splošno :</t>
  </si>
  <si>
    <t>ZEMELJSKA DELA:</t>
  </si>
  <si>
    <t>A.1./</t>
  </si>
  <si>
    <t>GRADBENA DELA:</t>
  </si>
  <si>
    <t>A./</t>
  </si>
  <si>
    <t>€/Skupaj</t>
  </si>
  <si>
    <t>€/Enota</t>
  </si>
  <si>
    <t>En</t>
  </si>
  <si>
    <t>Opis / Količina</t>
  </si>
  <si>
    <t>Zap.št./
Enota</t>
  </si>
  <si>
    <t>Skupaj:</t>
  </si>
  <si>
    <t>Ocena izkopa III.kat. zemljine</t>
  </si>
  <si>
    <t>Ocena izkopa humusne zemljine</t>
  </si>
  <si>
    <t>Asfalt bet. BB8s d=4cm m2</t>
  </si>
  <si>
    <t>Bitudrob. BD22 d=8cm m2</t>
  </si>
  <si>
    <t>Granitne kocke   m</t>
  </si>
  <si>
    <t>Skupna dolžina v m</t>
  </si>
  <si>
    <t>KOLIČINE</t>
  </si>
  <si>
    <t>Gramozni nasip do 100mm</t>
  </si>
  <si>
    <t>Gramozni nasip do 32mm</t>
  </si>
  <si>
    <t>Dodatna širina izkopa</t>
  </si>
  <si>
    <t>Bitudrobir 22</t>
  </si>
  <si>
    <t>Globina izkopa za muldo</t>
  </si>
  <si>
    <t>Asfalt beton 08</t>
  </si>
  <si>
    <t>Cesta</t>
  </si>
  <si>
    <t>Upoštevane širine in globine zemeljskih del</t>
  </si>
  <si>
    <t>Projektirane debeline slojev:</t>
  </si>
  <si>
    <t>KUMULATIVNE KOLIČINE CESTNIH DEL</t>
  </si>
  <si>
    <r>
      <t xml:space="preserve">Široki strojni izkop gradbene jame </t>
    </r>
    <r>
      <rPr>
        <sz val="9"/>
        <rFont val="Arial"/>
        <family val="2"/>
        <charset val="238"/>
      </rPr>
      <t>v zemljišču III. KTG z nakladanjem zemlje na prevozno sredstvo. Obračun izkopa se vrši v raščenem stanju, vključno z vsemi pomožnimi deli po določilih standardov za zemeljska dela.Obračun izkopa se vrši na osnovi profilov posnetih pred pričetkom izkopa in po končanem izkopu.V ceni morajo biti zajeti vsi manipulativni stroški, pomožna dela, transport do deponije, kjer se loči humusna zemljina od ostalega izkopa. Ocena izkopa</t>
    </r>
  </si>
  <si>
    <r>
      <t xml:space="preserve">Planiranje dna gradbene jame </t>
    </r>
    <r>
      <rPr>
        <sz val="9"/>
        <rFont val="Arial"/>
        <family val="2"/>
        <charset val="238"/>
      </rPr>
      <t>s točnostjo +- 10 cm, s povprečnim izkopom 0,05 m3/m2 in odvozom odvečnega materiala na deponijo na gradbišču H=200,00 m).</t>
    </r>
  </si>
  <si>
    <t>1. FAZA - METEORNI KANAL M1, M1.1</t>
  </si>
  <si>
    <t>1. FAZA - MULDA</t>
  </si>
  <si>
    <t>1.1</t>
  </si>
  <si>
    <t>1.2</t>
  </si>
  <si>
    <t>1.3</t>
  </si>
  <si>
    <t>2.1</t>
  </si>
  <si>
    <t>SKUPAJ 1. FAZA BREZ DDV</t>
  </si>
  <si>
    <t>DDV</t>
  </si>
  <si>
    <t>SKUPAJ 1. FAZA Z DDV</t>
  </si>
  <si>
    <t>SKUPAJ 2. FAZA BREZ DDV</t>
  </si>
  <si>
    <t>SKUPAJ 2. FAZA Z DDV</t>
  </si>
  <si>
    <t>1.FAZA - DRENAŽE</t>
  </si>
  <si>
    <t>1.FAZA - MULDA</t>
  </si>
  <si>
    <t>2.FAZA - DRENAŽE</t>
  </si>
  <si>
    <t>SKUPAJ 1. FAZA IN 2. FAZA BREZ DDV</t>
  </si>
  <si>
    <t>SKUPAJ 1.FAZA IN 2. FAZA Z DDV</t>
  </si>
  <si>
    <t>1. FAZA - DRENAŽE</t>
  </si>
  <si>
    <t>2. FAZA - DRENAŽE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</si>
</sst>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1]"/>
    <numFmt numFmtId="165" formatCode="#,##0.00\ &quot;€&quot;"/>
    <numFmt numFmtId="166" formatCode="_-* #,##0.00\ _S_I_T_-;\-* #,##0.00\ _S_I_T_-;_-* &quot;-&quot;??\ _S_I_T_-;_-@_-"/>
  </numFmts>
  <fonts count="35" x14ac:knownFonts="1">
    <font>
      <sz val="10"/>
      <name val="Arial"/>
      <charset val="238"/>
    </font>
    <font>
      <b/>
      <sz val="10"/>
      <name val="Arial"/>
      <family val="2"/>
    </font>
    <font>
      <b/>
      <sz val="14"/>
      <name val="Arial"/>
      <family val="2"/>
    </font>
    <font>
      <b/>
      <sz val="14"/>
      <name val="Arial"/>
      <family val="2"/>
      <charset val="238"/>
    </font>
    <font>
      <b/>
      <sz val="10"/>
      <name val="Arial"/>
      <family val="2"/>
      <charset val="238"/>
    </font>
    <font>
      <b/>
      <sz val="12"/>
      <name val="Arial"/>
      <family val="2"/>
      <charset val="238"/>
    </font>
    <font>
      <sz val="12"/>
      <name val="Arial"/>
      <family val="2"/>
      <charset val="238"/>
    </font>
    <font>
      <b/>
      <sz val="11"/>
      <name val="Arial"/>
      <family val="2"/>
      <charset val="238"/>
    </font>
    <font>
      <sz val="11"/>
      <name val="Arial"/>
      <family val="2"/>
      <charset val="238"/>
    </font>
    <font>
      <sz val="10"/>
      <name val="Arial"/>
      <family val="2"/>
      <charset val="238"/>
    </font>
    <font>
      <b/>
      <sz val="11.5"/>
      <color indexed="8"/>
      <name val="Arial"/>
      <family val="2"/>
      <charset val="238"/>
    </font>
    <font>
      <sz val="11.5"/>
      <color indexed="8"/>
      <name val="Arial"/>
      <family val="2"/>
      <charset val="238"/>
    </font>
    <font>
      <b/>
      <sz val="11"/>
      <color indexed="8"/>
      <name val="Arial"/>
      <family val="2"/>
      <charset val="238"/>
    </font>
    <font>
      <sz val="10"/>
      <color indexed="8"/>
      <name val="Arial"/>
      <family val="2"/>
      <charset val="238"/>
    </font>
    <font>
      <b/>
      <sz val="9"/>
      <color indexed="81"/>
      <name val="Tahoma"/>
      <family val="2"/>
      <charset val="238"/>
    </font>
    <font>
      <sz val="11"/>
      <color rgb="FF006100"/>
      <name val="Calibri"/>
      <family val="2"/>
      <charset val="238"/>
      <scheme val="minor"/>
    </font>
    <font>
      <sz val="10"/>
      <name val="Arial CE"/>
      <charset val="238"/>
    </font>
    <font>
      <b/>
      <sz val="8"/>
      <name val="Arial"/>
      <family val="2"/>
      <charset val="238"/>
    </font>
    <font>
      <b/>
      <sz val="13"/>
      <name val="Arial"/>
      <family val="2"/>
      <charset val="238"/>
    </font>
    <font>
      <sz val="9"/>
      <name val="Arial"/>
      <family val="2"/>
      <charset val="238"/>
    </font>
    <font>
      <sz val="8"/>
      <name val="Arial"/>
      <family val="2"/>
      <charset val="238"/>
    </font>
    <font>
      <b/>
      <sz val="9"/>
      <name val="Arial"/>
      <family val="2"/>
      <charset val="238"/>
    </font>
    <font>
      <sz val="12"/>
      <name val="Tahoma"/>
      <family val="2"/>
      <charset val="238"/>
    </font>
    <font>
      <sz val="13"/>
      <name val="Arial"/>
      <family val="2"/>
      <charset val="238"/>
    </font>
    <font>
      <sz val="14"/>
      <name val="Arial"/>
      <family val="2"/>
      <charset val="238"/>
    </font>
    <font>
      <b/>
      <i/>
      <sz val="9"/>
      <name val="Arial"/>
      <family val="2"/>
      <charset val="238"/>
    </font>
    <font>
      <i/>
      <sz val="9"/>
      <name val="Arial"/>
      <family val="2"/>
      <charset val="238"/>
    </font>
    <font>
      <b/>
      <i/>
      <u/>
      <sz val="9"/>
      <color indexed="18"/>
      <name val="Arial"/>
      <family val="2"/>
      <charset val="238"/>
    </font>
    <font>
      <i/>
      <u/>
      <sz val="9"/>
      <color indexed="18"/>
      <name val="Arial"/>
      <family val="2"/>
      <charset val="238"/>
    </font>
    <font>
      <b/>
      <u/>
      <sz val="9"/>
      <name val="Arial"/>
      <family val="2"/>
      <charset val="238"/>
    </font>
    <font>
      <u/>
      <sz val="9"/>
      <name val="Arial"/>
      <family val="2"/>
      <charset val="238"/>
    </font>
    <font>
      <b/>
      <sz val="9"/>
      <color indexed="18"/>
      <name val="Arial"/>
      <family val="2"/>
      <charset val="238"/>
    </font>
    <font>
      <b/>
      <i/>
      <sz val="9"/>
      <color indexed="18"/>
      <name val="Arial"/>
      <family val="2"/>
      <charset val="238"/>
    </font>
    <font>
      <i/>
      <sz val="9"/>
      <color indexed="18"/>
      <name val="Arial"/>
      <family val="2"/>
      <charset val="238"/>
    </font>
    <font>
      <b/>
      <sz val="10"/>
      <color indexed="8"/>
      <name val="Arial"/>
      <family val="2"/>
      <charset val="238"/>
    </font>
  </fonts>
  <fills count="3">
    <fill>
      <patternFill patternType="none"/>
    </fill>
    <fill>
      <patternFill patternType="gray125"/>
    </fill>
    <fill>
      <patternFill patternType="solid">
        <fgColor rgb="FFC6EFCE"/>
      </patternFill>
    </fill>
  </fills>
  <borders count="21">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6">
    <xf numFmtId="0" fontId="0" fillId="0" borderId="0"/>
    <xf numFmtId="0" fontId="15" fillId="2" borderId="0" applyNumberFormat="0" applyBorder="0" applyAlignment="0" applyProtection="0"/>
    <xf numFmtId="0" fontId="16" fillId="0" borderId="0"/>
    <xf numFmtId="0" fontId="9" fillId="0" borderId="0"/>
    <xf numFmtId="0" fontId="9" fillId="0" borderId="0"/>
    <xf numFmtId="166" fontId="9" fillId="0" borderId="0" applyFont="0" applyFill="0" applyBorder="0" applyAlignment="0" applyProtection="0"/>
  </cellStyleXfs>
  <cellXfs count="306">
    <xf numFmtId="0" fontId="0" fillId="0" borderId="0" xfId="0"/>
    <xf numFmtId="0" fontId="0" fillId="0" borderId="0" xfId="0" applyAlignment="1">
      <alignment wrapText="1"/>
    </xf>
    <xf numFmtId="4" fontId="0" fillId="0" borderId="0" xfId="0" applyNumberFormat="1"/>
    <xf numFmtId="4" fontId="0" fillId="0" borderId="0" xfId="0" applyNumberFormat="1" applyAlignment="1">
      <alignment wrapText="1"/>
    </xf>
    <xf numFmtId="4" fontId="0" fillId="0" borderId="0" xfId="0" applyNumberFormat="1" applyAlignment="1">
      <alignment horizontal="center"/>
    </xf>
    <xf numFmtId="4" fontId="1" fillId="0" borderId="0" xfId="0" applyNumberFormat="1" applyFont="1"/>
    <xf numFmtId="4" fontId="0" fillId="0" borderId="1" xfId="0" applyNumberFormat="1" applyBorder="1"/>
    <xf numFmtId="4" fontId="0" fillId="0" borderId="0" xfId="0" applyNumberFormat="1" applyBorder="1"/>
    <xf numFmtId="4" fontId="2" fillId="0" borderId="0" xfId="0" applyNumberFormat="1" applyFont="1"/>
    <xf numFmtId="4" fontId="0" fillId="0" borderId="2" xfId="0" applyNumberFormat="1" applyBorder="1"/>
    <xf numFmtId="4" fontId="0" fillId="0" borderId="2" xfId="0" applyNumberFormat="1" applyBorder="1" applyAlignment="1">
      <alignment horizontal="center"/>
    </xf>
    <xf numFmtId="4" fontId="1" fillId="0" borderId="2" xfId="0" applyNumberFormat="1" applyFont="1" applyBorder="1" applyAlignment="1">
      <alignment horizontal="center"/>
    </xf>
    <xf numFmtId="4" fontId="0" fillId="0" borderId="3" xfId="0" applyNumberFormat="1" applyBorder="1"/>
    <xf numFmtId="3" fontId="0" fillId="0" borderId="4" xfId="0" applyNumberFormat="1" applyBorder="1" applyAlignment="1">
      <alignment horizontal="center"/>
    </xf>
    <xf numFmtId="4" fontId="0" fillId="0" borderId="5" xfId="0" applyNumberFormat="1" applyBorder="1"/>
    <xf numFmtId="4" fontId="0" fillId="0" borderId="3" xfId="0" applyNumberFormat="1" applyBorder="1" applyAlignment="1">
      <alignment horizontal="center"/>
    </xf>
    <xf numFmtId="4" fontId="0" fillId="0" borderId="6" xfId="0" applyNumberFormat="1" applyBorder="1"/>
    <xf numFmtId="4" fontId="0" fillId="0" borderId="7" xfId="0" applyNumberFormat="1" applyBorder="1"/>
    <xf numFmtId="4" fontId="0" fillId="0" borderId="7" xfId="0" applyNumberFormat="1" applyBorder="1" applyAlignment="1">
      <alignment horizontal="center"/>
    </xf>
    <xf numFmtId="4" fontId="0" fillId="0" borderId="8" xfId="0" applyNumberFormat="1" applyBorder="1"/>
    <xf numFmtId="4" fontId="0" fillId="0" borderId="9" xfId="0" applyNumberFormat="1" applyBorder="1" applyAlignment="1">
      <alignment horizontal="center" vertical="center" wrapText="1"/>
    </xf>
    <xf numFmtId="4" fontId="0" fillId="0" borderId="10" xfId="0" applyNumberFormat="1" applyBorder="1" applyAlignment="1">
      <alignment horizontal="center" vertical="center" wrapText="1"/>
    </xf>
    <xf numFmtId="4" fontId="0" fillId="0" borderId="11" xfId="0" applyNumberFormat="1" applyBorder="1" applyAlignment="1">
      <alignment horizontal="center" vertical="center" wrapText="1"/>
    </xf>
    <xf numFmtId="4" fontId="0" fillId="0" borderId="10" xfId="0" applyNumberFormat="1" applyBorder="1"/>
    <xf numFmtId="4" fontId="1" fillId="0" borderId="10" xfId="0" applyNumberFormat="1" applyFont="1" applyBorder="1"/>
    <xf numFmtId="4" fontId="1" fillId="0" borderId="11" xfId="0" applyNumberFormat="1" applyFont="1" applyBorder="1"/>
    <xf numFmtId="4" fontId="1" fillId="0" borderId="9" xfId="0" applyNumberFormat="1" applyFont="1" applyBorder="1"/>
    <xf numFmtId="4" fontId="1" fillId="0" borderId="2" xfId="0" applyNumberFormat="1" applyFont="1" applyBorder="1"/>
    <xf numFmtId="10" fontId="0" fillId="0" borderId="2" xfId="0" applyNumberFormat="1" applyBorder="1"/>
    <xf numFmtId="4" fontId="0" fillId="0" borderId="12" xfId="0" applyNumberFormat="1" applyBorder="1" applyAlignment="1">
      <alignment horizontal="center"/>
    </xf>
    <xf numFmtId="4" fontId="1" fillId="0" borderId="5" xfId="0" applyNumberFormat="1" applyFont="1" applyBorder="1"/>
    <xf numFmtId="4" fontId="0" fillId="0" borderId="13" xfId="0" applyNumberFormat="1" applyBorder="1" applyAlignment="1">
      <alignment horizontal="center"/>
    </xf>
    <xf numFmtId="4" fontId="3" fillId="0" borderId="0" xfId="0" applyNumberFormat="1" applyFont="1"/>
    <xf numFmtId="4" fontId="4" fillId="0" borderId="6" xfId="0" applyNumberFormat="1" applyFont="1" applyBorder="1"/>
    <xf numFmtId="164" fontId="7" fillId="0" borderId="0" xfId="0" applyNumberFormat="1" applyFont="1"/>
    <xf numFmtId="164" fontId="7" fillId="0" borderId="14" xfId="0" applyNumberFormat="1" applyFont="1" applyBorder="1"/>
    <xf numFmtId="0" fontId="7" fillId="0" borderId="0" xfId="0" applyNumberFormat="1" applyFont="1" applyAlignment="1">
      <alignment vertical="center"/>
    </xf>
    <xf numFmtId="4" fontId="0" fillId="0" borderId="9" xfId="0" applyNumberFormat="1" applyBorder="1" applyAlignment="1">
      <alignment horizontal="center" vertical="center"/>
    </xf>
    <xf numFmtId="4" fontId="9" fillId="0" borderId="7" xfId="0" applyNumberFormat="1" applyFont="1" applyBorder="1" applyAlignment="1">
      <alignment horizontal="center"/>
    </xf>
    <xf numFmtId="4" fontId="9" fillId="0" borderId="0" xfId="0" applyNumberFormat="1" applyFont="1"/>
    <xf numFmtId="164" fontId="9" fillId="0" borderId="0" xfId="0" applyNumberFormat="1" applyFont="1"/>
    <xf numFmtId="0" fontId="9" fillId="0" borderId="0" xfId="0" applyFont="1"/>
    <xf numFmtId="0" fontId="9" fillId="0" borderId="0" xfId="0" applyNumberFormat="1" applyFont="1" applyAlignment="1">
      <alignment vertical="center"/>
    </xf>
    <xf numFmtId="0" fontId="4" fillId="0" borderId="0" xfId="0" applyFont="1" applyAlignment="1">
      <alignment vertical="center"/>
    </xf>
    <xf numFmtId="164" fontId="4" fillId="0" borderId="0" xfId="0" applyNumberFormat="1" applyFont="1"/>
    <xf numFmtId="0" fontId="9" fillId="0" borderId="0" xfId="0" applyFont="1" applyAlignment="1">
      <alignment horizontal="center" vertical="center"/>
    </xf>
    <xf numFmtId="164" fontId="9" fillId="0" borderId="1" xfId="0" applyNumberFormat="1" applyFont="1" applyBorder="1"/>
    <xf numFmtId="0" fontId="9" fillId="0" borderId="0" xfId="0" applyFont="1" applyAlignment="1">
      <alignment vertical="center"/>
    </xf>
    <xf numFmtId="3" fontId="0" fillId="0" borderId="9" xfId="0" applyNumberFormat="1" applyBorder="1" applyAlignment="1">
      <alignment horizontal="center"/>
    </xf>
    <xf numFmtId="4" fontId="0" fillId="0" borderId="4" xfId="0" applyNumberFormat="1" applyBorder="1"/>
    <xf numFmtId="4" fontId="4" fillId="0" borderId="2" xfId="0" applyNumberFormat="1" applyFont="1" applyBorder="1"/>
    <xf numFmtId="4" fontId="0" fillId="0" borderId="6" xfId="0" applyNumberFormat="1" applyBorder="1" applyAlignment="1">
      <alignment horizontal="center"/>
    </xf>
    <xf numFmtId="4" fontId="4" fillId="0" borderId="10" xfId="0" applyNumberFormat="1" applyFont="1" applyBorder="1"/>
    <xf numFmtId="4" fontId="0" fillId="0" borderId="15" xfId="0" applyNumberFormat="1" applyBorder="1" applyAlignment="1">
      <alignment horizontal="center"/>
    </xf>
    <xf numFmtId="4" fontId="0" fillId="0" borderId="16" xfId="0" applyNumberFormat="1" applyBorder="1" applyAlignment="1">
      <alignment horizontal="center"/>
    </xf>
    <xf numFmtId="4" fontId="4" fillId="0" borderId="2" xfId="0" applyNumberFormat="1" applyFont="1" applyBorder="1" applyAlignment="1">
      <alignment horizontal="left"/>
    </xf>
    <xf numFmtId="0" fontId="13" fillId="0" borderId="0" xfId="0" applyFont="1" applyAlignment="1">
      <alignment horizontal="center" vertical="center"/>
    </xf>
    <xf numFmtId="164" fontId="13" fillId="0" borderId="0" xfId="0" applyNumberFormat="1" applyFont="1"/>
    <xf numFmtId="0" fontId="9" fillId="0" borderId="0" xfId="0" applyFont="1" applyAlignment="1"/>
    <xf numFmtId="4" fontId="9" fillId="0" borderId="0" xfId="0" applyNumberFormat="1" applyFont="1" applyAlignment="1"/>
    <xf numFmtId="2" fontId="9" fillId="0" borderId="0" xfId="0" applyNumberFormat="1" applyFont="1" applyAlignment="1"/>
    <xf numFmtId="164" fontId="9" fillId="0" borderId="0" xfId="0" applyNumberFormat="1" applyFont="1" applyAlignment="1"/>
    <xf numFmtId="4" fontId="9" fillId="0" borderId="0" xfId="0" applyNumberFormat="1" applyFont="1" applyFill="1"/>
    <xf numFmtId="2" fontId="9" fillId="0" borderId="0" xfId="0" applyNumberFormat="1" applyFont="1" applyFill="1"/>
    <xf numFmtId="0" fontId="9" fillId="0" borderId="0" xfId="0" applyFont="1" applyFill="1"/>
    <xf numFmtId="2" fontId="9" fillId="0" borderId="0" xfId="0" applyNumberFormat="1" applyFont="1" applyFill="1" applyAlignment="1">
      <alignment vertical="justify" wrapText="1"/>
    </xf>
    <xf numFmtId="2" fontId="3" fillId="0" borderId="0" xfId="0" applyNumberFormat="1" applyFont="1" applyFill="1" applyAlignment="1">
      <alignment vertical="center"/>
    </xf>
    <xf numFmtId="0" fontId="7" fillId="0" borderId="0" xfId="0" applyNumberFormat="1" applyFont="1" applyFill="1" applyAlignment="1">
      <alignment vertical="center"/>
    </xf>
    <xf numFmtId="0" fontId="9" fillId="0" borderId="14" xfId="0" applyFont="1" applyFill="1" applyBorder="1"/>
    <xf numFmtId="4" fontId="9" fillId="0" borderId="14" xfId="0" applyNumberFormat="1" applyFont="1" applyFill="1" applyBorder="1"/>
    <xf numFmtId="2" fontId="9" fillId="0" borderId="14" xfId="0" applyNumberFormat="1" applyFont="1" applyFill="1" applyBorder="1"/>
    <xf numFmtId="2" fontId="4" fillId="0" borderId="0" xfId="0" applyNumberFormat="1" applyFont="1" applyFill="1" applyAlignment="1">
      <alignment vertical="justify" wrapText="1"/>
    </xf>
    <xf numFmtId="0" fontId="4" fillId="0" borderId="0" xfId="0" applyFont="1" applyFill="1"/>
    <xf numFmtId="4" fontId="4" fillId="0" borderId="0" xfId="0" applyNumberFormat="1" applyFont="1" applyFill="1"/>
    <xf numFmtId="2" fontId="4" fillId="0" borderId="0" xfId="0" applyNumberFormat="1" applyFont="1" applyFill="1"/>
    <xf numFmtId="0" fontId="13" fillId="0" borderId="0" xfId="0" applyFont="1" applyFill="1" applyAlignment="1">
      <alignment horizontal="justify" vertical="top" wrapText="1"/>
    </xf>
    <xf numFmtId="0" fontId="9" fillId="0" borderId="1" xfId="0" applyFont="1" applyFill="1" applyBorder="1"/>
    <xf numFmtId="4" fontId="9" fillId="0" borderId="1" xfId="0" applyNumberFormat="1" applyFont="1" applyFill="1" applyBorder="1"/>
    <xf numFmtId="2" fontId="9" fillId="0" borderId="1" xfId="0" applyNumberFormat="1" applyFont="1" applyFill="1" applyBorder="1"/>
    <xf numFmtId="2" fontId="9" fillId="0" borderId="0" xfId="0" applyNumberFormat="1" applyFont="1" applyFill="1" applyAlignment="1">
      <alignment vertical="top" wrapText="1"/>
    </xf>
    <xf numFmtId="0" fontId="10" fillId="0" borderId="0" xfId="0" applyFont="1" applyFill="1"/>
    <xf numFmtId="0" fontId="11" fillId="0" borderId="0" xfId="0" applyFont="1" applyFill="1"/>
    <xf numFmtId="2" fontId="13" fillId="0" borderId="0" xfId="0" applyNumberFormat="1" applyFont="1" applyFill="1" applyAlignment="1">
      <alignment vertical="justify" wrapText="1"/>
    </xf>
    <xf numFmtId="0" fontId="13" fillId="0" borderId="0" xfId="0" applyFont="1" applyFill="1"/>
    <xf numFmtId="4" fontId="13" fillId="0" borderId="0" xfId="0" applyNumberFormat="1" applyFont="1" applyFill="1"/>
    <xf numFmtId="0" fontId="12" fillId="0" borderId="0" xfId="0" applyFont="1" applyFill="1"/>
    <xf numFmtId="0" fontId="13" fillId="0" borderId="0" xfId="0" applyFont="1" applyFill="1" applyAlignment="1">
      <alignment wrapText="1"/>
    </xf>
    <xf numFmtId="4" fontId="0" fillId="0" borderId="0" xfId="0" applyNumberFormat="1" applyFill="1"/>
    <xf numFmtId="4" fontId="0" fillId="0" borderId="10" xfId="0" applyNumberFormat="1" applyFill="1" applyBorder="1" applyAlignment="1">
      <alignment horizontal="center" vertical="center" wrapText="1"/>
    </xf>
    <xf numFmtId="4" fontId="0" fillId="0" borderId="11" xfId="0" applyNumberFormat="1" applyFill="1" applyBorder="1" applyAlignment="1">
      <alignment horizontal="center" vertical="center" wrapText="1"/>
    </xf>
    <xf numFmtId="4" fontId="0" fillId="0" borderId="7" xfId="0" applyNumberFormat="1" applyFill="1" applyBorder="1" applyAlignment="1">
      <alignment horizontal="center"/>
    </xf>
    <xf numFmtId="4" fontId="0" fillId="0" borderId="8" xfId="0" applyNumberFormat="1" applyFill="1" applyBorder="1" applyAlignment="1">
      <alignment horizontal="center"/>
    </xf>
    <xf numFmtId="4" fontId="0" fillId="0" borderId="2" xfId="0" applyNumberFormat="1" applyFill="1" applyBorder="1"/>
    <xf numFmtId="4" fontId="0" fillId="0" borderId="2" xfId="0" applyNumberFormat="1" applyFill="1" applyBorder="1" applyAlignment="1">
      <alignment horizontal="center"/>
    </xf>
    <xf numFmtId="4" fontId="0" fillId="0" borderId="3" xfId="0" applyNumberFormat="1" applyFill="1" applyBorder="1"/>
    <xf numFmtId="4" fontId="1" fillId="0" borderId="10" xfId="0" applyNumberFormat="1" applyFont="1" applyFill="1" applyBorder="1"/>
    <xf numFmtId="4" fontId="0" fillId="0" borderId="10" xfId="0" applyNumberFormat="1" applyFill="1" applyBorder="1"/>
    <xf numFmtId="4" fontId="1" fillId="0" borderId="11" xfId="0" applyNumberFormat="1" applyFont="1" applyFill="1" applyBorder="1"/>
    <xf numFmtId="4" fontId="1" fillId="0" borderId="0" xfId="0" applyNumberFormat="1" applyFont="1" applyFill="1"/>
    <xf numFmtId="4" fontId="0" fillId="0" borderId="0" xfId="0" applyNumberFormat="1" applyFill="1" applyAlignment="1">
      <alignment horizontal="center"/>
    </xf>
    <xf numFmtId="4" fontId="0" fillId="0" borderId="0" xfId="0" applyNumberFormat="1" applyFill="1" applyBorder="1"/>
    <xf numFmtId="4" fontId="9" fillId="0" borderId="0" xfId="0" applyNumberFormat="1" applyFont="1" applyFill="1" applyBorder="1" applyAlignment="1">
      <alignment horizontal="right"/>
    </xf>
    <xf numFmtId="3" fontId="9" fillId="0" borderId="0" xfId="0" applyNumberFormat="1" applyFont="1" applyFill="1" applyAlignment="1">
      <alignment horizontal="left"/>
    </xf>
    <xf numFmtId="4" fontId="0" fillId="0" borderId="0" xfId="0" applyNumberFormat="1" applyFill="1" applyBorder="1" applyAlignment="1">
      <alignment horizontal="center"/>
    </xf>
    <xf numFmtId="4" fontId="0" fillId="0" borderId="1" xfId="0" applyNumberFormat="1" applyFill="1" applyBorder="1"/>
    <xf numFmtId="4" fontId="1" fillId="0" borderId="4" xfId="0" applyNumberFormat="1" applyFont="1" applyBorder="1"/>
    <xf numFmtId="4" fontId="9" fillId="0" borderId="0" xfId="0" applyNumberFormat="1" applyFont="1" applyFill="1" applyAlignment="1">
      <alignment horizontal="center"/>
    </xf>
    <xf numFmtId="4" fontId="1" fillId="0" borderId="7" xfId="0" applyNumberFormat="1" applyFont="1" applyBorder="1"/>
    <xf numFmtId="10" fontId="0" fillId="0" borderId="7" xfId="0" applyNumberFormat="1" applyBorder="1"/>
    <xf numFmtId="4" fontId="0" fillId="0" borderId="8" xfId="0" applyNumberFormat="1" applyBorder="1" applyAlignment="1">
      <alignment horizontal="center"/>
    </xf>
    <xf numFmtId="4" fontId="0" fillId="0" borderId="16" xfId="0" applyNumberFormat="1" applyBorder="1"/>
    <xf numFmtId="4" fontId="4" fillId="0" borderId="16" xfId="0" applyNumberFormat="1" applyFont="1" applyBorder="1"/>
    <xf numFmtId="0" fontId="9" fillId="0" borderId="0" xfId="0" applyFont="1" applyFill="1" applyAlignment="1">
      <alignment horizontal="center" vertical="center"/>
    </xf>
    <xf numFmtId="164" fontId="9" fillId="0" borderId="0" xfId="0" applyNumberFormat="1" applyFont="1" applyFill="1"/>
    <xf numFmtId="164" fontId="9" fillId="0" borderId="14" xfId="2" applyNumberFormat="1" applyFont="1" applyBorder="1" applyAlignment="1">
      <alignment horizontal="right"/>
    </xf>
    <xf numFmtId="0" fontId="9" fillId="0" borderId="14" xfId="2" applyFont="1" applyBorder="1" applyAlignment="1">
      <alignment horizontal="center" vertical="center"/>
    </xf>
    <xf numFmtId="0" fontId="9" fillId="0" borderId="14" xfId="2" applyFont="1" applyBorder="1" applyAlignment="1">
      <alignment horizontal="left" vertical="top" wrapText="1"/>
    </xf>
    <xf numFmtId="0" fontId="9" fillId="0" borderId="14" xfId="2" applyFont="1" applyBorder="1" applyAlignment="1">
      <alignment horizontal="right"/>
    </xf>
    <xf numFmtId="164" fontId="9" fillId="0" borderId="0" xfId="2" applyNumberFormat="1" applyFont="1" applyBorder="1" applyAlignment="1">
      <alignment horizontal="right"/>
    </xf>
    <xf numFmtId="2" fontId="9" fillId="0" borderId="0" xfId="2" applyNumberFormat="1" applyFont="1" applyBorder="1" applyAlignment="1">
      <alignment horizontal="center" vertical="center"/>
    </xf>
    <xf numFmtId="0" fontId="9" fillId="0" borderId="0" xfId="2" applyFont="1" applyBorder="1" applyAlignment="1">
      <alignment horizontal="center" vertical="center"/>
    </xf>
    <xf numFmtId="0" fontId="9" fillId="0" borderId="0" xfId="2" applyFont="1" applyBorder="1" applyAlignment="1">
      <alignment horizontal="left" vertical="top" wrapText="1"/>
    </xf>
    <xf numFmtId="164" fontId="9" fillId="0" borderId="0" xfId="2" applyNumberFormat="1" applyFont="1" applyFill="1" applyBorder="1" applyAlignment="1">
      <alignment horizontal="right"/>
    </xf>
    <xf numFmtId="164" fontId="9" fillId="0" borderId="0" xfId="3" applyNumberFormat="1" applyFont="1" applyFill="1" applyBorder="1" applyAlignment="1">
      <alignment horizontal="right"/>
    </xf>
    <xf numFmtId="2" fontId="9" fillId="0" borderId="0" xfId="2" applyNumberFormat="1" applyFont="1" applyFill="1" applyBorder="1" applyAlignment="1">
      <alignment horizontal="center"/>
    </xf>
    <xf numFmtId="0" fontId="9" fillId="0" borderId="0" xfId="3" applyFont="1" applyFill="1" applyBorder="1" applyAlignment="1">
      <alignment horizontal="center"/>
    </xf>
    <xf numFmtId="0" fontId="9" fillId="0" borderId="0" xfId="2" applyFont="1" applyFill="1" applyBorder="1" applyAlignment="1">
      <alignment horizontal="left" wrapText="1"/>
    </xf>
    <xf numFmtId="0" fontId="9" fillId="0" borderId="0" xfId="2" applyFont="1" applyBorder="1" applyAlignment="1">
      <alignment horizontal="right"/>
    </xf>
    <xf numFmtId="165" fontId="9" fillId="0" borderId="0" xfId="2" applyNumberFormat="1" applyFont="1" applyFill="1" applyBorder="1" applyAlignment="1">
      <alignment horizontal="right"/>
    </xf>
    <xf numFmtId="0" fontId="9" fillId="0" borderId="0" xfId="2" applyFont="1" applyFill="1" applyBorder="1" applyAlignment="1">
      <alignment horizontal="center"/>
    </xf>
    <xf numFmtId="0" fontId="9" fillId="0" borderId="0" xfId="2" applyFont="1" applyFill="1" applyBorder="1" applyAlignment="1">
      <alignment wrapText="1"/>
    </xf>
    <xf numFmtId="2" fontId="9" fillId="0" borderId="0" xfId="2" applyNumberFormat="1" applyFont="1" applyBorder="1" applyAlignment="1">
      <alignment horizontal="center"/>
    </xf>
    <xf numFmtId="49" fontId="9" fillId="0" borderId="0" xfId="2" applyNumberFormat="1" applyFont="1" applyFill="1" applyBorder="1" applyAlignment="1">
      <alignment wrapText="1"/>
    </xf>
    <xf numFmtId="164" fontId="9" fillId="0" borderId="0" xfId="2" applyNumberFormat="1" applyFont="1" applyAlignment="1">
      <alignment horizontal="right" vertical="center"/>
    </xf>
    <xf numFmtId="0" fontId="9" fillId="0" borderId="0" xfId="2" applyFont="1" applyAlignment="1">
      <alignment horizontal="center" vertical="center"/>
    </xf>
    <xf numFmtId="0" fontId="9" fillId="0" borderId="0" xfId="2" applyFont="1" applyAlignment="1">
      <alignment horizontal="left" vertical="top" wrapText="1"/>
    </xf>
    <xf numFmtId="164" fontId="8" fillId="0" borderId="0" xfId="2" applyNumberFormat="1" applyFont="1" applyAlignment="1">
      <alignment horizontal="left" vertical="center"/>
    </xf>
    <xf numFmtId="0" fontId="8" fillId="0" borderId="0" xfId="2" applyFont="1" applyAlignment="1">
      <alignment horizontal="center" vertical="center"/>
    </xf>
    <xf numFmtId="0" fontId="8" fillId="0" borderId="0" xfId="2" applyFont="1" applyAlignment="1">
      <alignment horizontal="left" vertical="top" wrapText="1"/>
    </xf>
    <xf numFmtId="0" fontId="8" fillId="0" borderId="0" xfId="2" applyFont="1" applyAlignment="1">
      <alignment horizontal="left" vertical="top"/>
    </xf>
    <xf numFmtId="164" fontId="4" fillId="0" borderId="0" xfId="2" applyNumberFormat="1" applyFont="1" applyAlignment="1">
      <alignment horizontal="right" vertical="center"/>
    </xf>
    <xf numFmtId="0" fontId="4" fillId="0" borderId="0" xfId="2" applyFont="1" applyAlignment="1">
      <alignment horizontal="center" vertical="center"/>
    </xf>
    <xf numFmtId="0" fontId="4" fillId="0" borderId="0" xfId="2" applyFont="1" applyAlignment="1">
      <alignment horizontal="left" vertical="top" wrapText="1"/>
    </xf>
    <xf numFmtId="0" fontId="9" fillId="0" borderId="0" xfId="2" applyFont="1" applyAlignment="1">
      <alignment horizontal="left" vertical="top"/>
    </xf>
    <xf numFmtId="0" fontId="4" fillId="0" borderId="0" xfId="2" applyFont="1" applyAlignment="1">
      <alignment horizontal="left" vertical="top"/>
    </xf>
    <xf numFmtId="0" fontId="8" fillId="0" borderId="0" xfId="2" applyFont="1" applyBorder="1" applyAlignment="1">
      <alignment horizontal="left" vertical="top" wrapText="1"/>
    </xf>
    <xf numFmtId="164" fontId="8" fillId="0" borderId="0" xfId="2" applyNumberFormat="1" applyFont="1" applyAlignment="1">
      <alignment horizontal="right" vertical="center"/>
    </xf>
    <xf numFmtId="165" fontId="8" fillId="0" borderId="14" xfId="2" applyNumberFormat="1" applyFont="1" applyFill="1" applyBorder="1" applyAlignment="1">
      <alignment vertical="center"/>
    </xf>
    <xf numFmtId="2" fontId="8" fillId="0" borderId="14" xfId="2" applyNumberFormat="1" applyFont="1" applyFill="1" applyBorder="1" applyAlignment="1">
      <alignment horizontal="center" vertical="center"/>
    </xf>
    <xf numFmtId="0" fontId="8" fillId="0" borderId="14" xfId="2" applyFont="1" applyFill="1" applyBorder="1" applyAlignment="1">
      <alignment horizontal="center" vertical="center"/>
    </xf>
    <xf numFmtId="0" fontId="8" fillId="0" borderId="14" xfId="2" applyFont="1" applyBorder="1" applyAlignment="1">
      <alignment horizontal="left" vertical="top" wrapText="1"/>
    </xf>
    <xf numFmtId="165" fontId="8" fillId="0" borderId="0" xfId="2" applyNumberFormat="1" applyFont="1" applyFill="1" applyBorder="1" applyAlignment="1">
      <alignment vertical="center"/>
    </xf>
    <xf numFmtId="2" fontId="8" fillId="0" borderId="0" xfId="2" applyNumberFormat="1" applyFont="1" applyFill="1" applyBorder="1" applyAlignment="1">
      <alignment horizontal="center" vertical="center"/>
    </xf>
    <xf numFmtId="0" fontId="8" fillId="0" borderId="0" xfId="2" applyFont="1" applyFill="1" applyBorder="1" applyAlignment="1">
      <alignment horizontal="center" vertical="center"/>
    </xf>
    <xf numFmtId="0" fontId="4" fillId="0" borderId="0" xfId="2" applyFont="1" applyBorder="1" applyAlignment="1">
      <alignment horizontal="left" vertical="top" wrapText="1"/>
    </xf>
    <xf numFmtId="164" fontId="9" fillId="0" borderId="0" xfId="2" applyNumberFormat="1" applyFont="1" applyBorder="1" applyAlignment="1">
      <alignment horizontal="right" vertical="center"/>
    </xf>
    <xf numFmtId="0" fontId="4" fillId="0" borderId="0" xfId="2" applyFont="1" applyAlignment="1">
      <alignment horizontal="left"/>
    </xf>
    <xf numFmtId="0" fontId="4" fillId="0" borderId="0" xfId="2" applyFont="1" applyBorder="1" applyAlignment="1">
      <alignment horizontal="left" vertical="top"/>
    </xf>
    <xf numFmtId="0" fontId="9" fillId="0" borderId="0" xfId="2" applyFont="1" applyBorder="1" applyAlignment="1">
      <alignment horizontal="center"/>
    </xf>
    <xf numFmtId="2" fontId="9" fillId="0" borderId="0" xfId="2" applyNumberFormat="1" applyFont="1" applyFill="1" applyBorder="1" applyAlignment="1">
      <alignment horizontal="center" vertical="center"/>
    </xf>
    <xf numFmtId="0" fontId="9" fillId="0" borderId="0" xfId="2" applyFont="1" applyFill="1" applyBorder="1" applyAlignment="1">
      <alignment horizontal="center" vertical="center"/>
    </xf>
    <xf numFmtId="0" fontId="9" fillId="0" borderId="0" xfId="2" applyFont="1" applyFill="1" applyBorder="1" applyAlignment="1">
      <alignment vertical="center" wrapText="1"/>
    </xf>
    <xf numFmtId="0" fontId="9" fillId="0" borderId="0" xfId="2" applyFont="1" applyBorder="1" applyAlignment="1">
      <alignment horizontal="left" wrapText="1"/>
    </xf>
    <xf numFmtId="0" fontId="4" fillId="0" borderId="0" xfId="2" applyNumberFormat="1" applyFont="1" applyAlignment="1">
      <alignment horizontal="left"/>
    </xf>
    <xf numFmtId="164" fontId="17" fillId="0" borderId="0" xfId="2" applyNumberFormat="1" applyFont="1" applyAlignment="1">
      <alignment horizontal="right" vertical="center" wrapText="1"/>
    </xf>
    <xf numFmtId="0" fontId="17" fillId="0" borderId="0" xfId="2" applyFont="1" applyAlignment="1">
      <alignment horizontal="center" vertical="center" wrapText="1"/>
    </xf>
    <xf numFmtId="0" fontId="17" fillId="0" borderId="0" xfId="2" applyFont="1" applyAlignment="1">
      <alignment horizontal="left" vertical="top" wrapText="1"/>
    </xf>
    <xf numFmtId="0" fontId="9" fillId="0" borderId="0" xfId="4"/>
    <xf numFmtId="164" fontId="9" fillId="0" borderId="0" xfId="4" applyNumberFormat="1"/>
    <xf numFmtId="0" fontId="9" fillId="0" borderId="0" xfId="4" applyAlignment="1">
      <alignment horizontal="center"/>
    </xf>
    <xf numFmtId="164" fontId="19" fillId="0" borderId="0" xfId="4" applyNumberFormat="1" applyFont="1"/>
    <xf numFmtId="0" fontId="20" fillId="0" borderId="0" xfId="4" applyFont="1" applyAlignment="1">
      <alignment horizontal="center"/>
    </xf>
    <xf numFmtId="4" fontId="21" fillId="0" borderId="2" xfId="5" applyNumberFormat="1" applyFont="1" applyFill="1" applyBorder="1" applyAlignment="1">
      <alignment horizontal="right" vertical="center" wrapText="1"/>
    </xf>
    <xf numFmtId="166" fontId="21" fillId="0" borderId="2" xfId="5" applyFont="1" applyFill="1" applyBorder="1" applyAlignment="1">
      <alignment horizontal="center" vertical="center" wrapText="1"/>
    </xf>
    <xf numFmtId="0" fontId="22" fillId="0" borderId="0" xfId="4" applyFont="1" applyAlignment="1">
      <alignment horizontal="justify"/>
    </xf>
    <xf numFmtId="164" fontId="4" fillId="0" borderId="0" xfId="4" applyNumberFormat="1" applyFont="1"/>
    <xf numFmtId="4" fontId="7" fillId="0" borderId="0" xfId="4" applyNumberFormat="1" applyFont="1" applyAlignment="1">
      <alignment horizontal="center"/>
    </xf>
    <xf numFmtId="0" fontId="4" fillId="0" borderId="0" xfId="4" applyFont="1" applyAlignment="1">
      <alignment horizontal="center"/>
    </xf>
    <xf numFmtId="0" fontId="8" fillId="0" borderId="0" xfId="4" applyFont="1" applyAlignment="1">
      <alignment horizontal="justify"/>
    </xf>
    <xf numFmtId="4" fontId="9" fillId="0" borderId="0" xfId="4" applyNumberFormat="1"/>
    <xf numFmtId="4" fontId="9" fillId="0" borderId="0" xfId="4" applyNumberFormat="1" applyAlignment="1">
      <alignment horizontal="center"/>
    </xf>
    <xf numFmtId="4" fontId="4" fillId="0" borderId="2" xfId="4" applyNumberFormat="1" applyFont="1" applyBorder="1"/>
    <xf numFmtId="4" fontId="9" fillId="0" borderId="2" xfId="4" applyNumberFormat="1" applyBorder="1" applyAlignment="1">
      <alignment horizontal="center"/>
    </xf>
    <xf numFmtId="0" fontId="9" fillId="0" borderId="2" xfId="4" applyBorder="1" applyAlignment="1">
      <alignment horizontal="center"/>
    </xf>
    <xf numFmtId="0" fontId="8" fillId="0" borderId="2" xfId="4" applyFont="1" applyBorder="1" applyAlignment="1">
      <alignment horizontal="justify"/>
    </xf>
    <xf numFmtId="4" fontId="9" fillId="0" borderId="2" xfId="4" applyNumberFormat="1" applyBorder="1"/>
    <xf numFmtId="0" fontId="9" fillId="0" borderId="2" xfId="4" applyBorder="1"/>
    <xf numFmtId="4" fontId="21" fillId="0" borderId="2" xfId="4" applyNumberFormat="1" applyFont="1" applyBorder="1" applyAlignment="1">
      <alignment horizontal="center" vertical="center" wrapText="1"/>
    </xf>
    <xf numFmtId="4" fontId="21" fillId="0" borderId="2" xfId="4" applyNumberFormat="1" applyFont="1" applyBorder="1" applyAlignment="1">
      <alignment horizontal="center" vertical="top" wrapText="1"/>
    </xf>
    <xf numFmtId="0" fontId="4" fillId="0" borderId="2" xfId="4" applyFont="1" applyBorder="1" applyAlignment="1">
      <alignment vertical="center"/>
    </xf>
    <xf numFmtId="0" fontId="4" fillId="0" borderId="0" xfId="4" applyFont="1"/>
    <xf numFmtId="4" fontId="4" fillId="0" borderId="0" xfId="4" applyNumberFormat="1" applyFont="1"/>
    <xf numFmtId="4" fontId="9" fillId="0" borderId="0" xfId="4" applyNumberFormat="1" applyFont="1"/>
    <xf numFmtId="4" fontId="4" fillId="0" borderId="0" xfId="4" applyNumberFormat="1" applyFont="1" applyAlignment="1">
      <alignment horizontal="center"/>
    </xf>
    <xf numFmtId="0" fontId="7" fillId="0" borderId="0" xfId="4" applyFont="1"/>
    <xf numFmtId="0" fontId="5" fillId="0" borderId="0" xfId="4" applyFont="1"/>
    <xf numFmtId="0" fontId="3" fillId="0" borderId="0" xfId="4" applyFont="1"/>
    <xf numFmtId="0" fontId="23" fillId="0" borderId="0" xfId="2" applyFont="1" applyAlignment="1">
      <alignment horizontal="left" vertical="top"/>
    </xf>
    <xf numFmtId="0" fontId="24" fillId="0" borderId="0" xfId="2" applyFont="1" applyAlignment="1">
      <alignment horizontal="left" vertical="top"/>
    </xf>
    <xf numFmtId="0" fontId="23" fillId="0" borderId="0" xfId="2" applyFont="1" applyAlignment="1">
      <alignment horizontal="center" vertical="center"/>
    </xf>
    <xf numFmtId="2" fontId="23" fillId="0" borderId="0" xfId="2" applyNumberFormat="1" applyFont="1" applyAlignment="1">
      <alignment horizontal="center" vertical="center"/>
    </xf>
    <xf numFmtId="164" fontId="23" fillId="0" borderId="0" xfId="2" applyNumberFormat="1" applyFont="1" applyAlignment="1">
      <alignment horizontal="right" vertical="center"/>
    </xf>
    <xf numFmtId="0" fontId="23" fillId="0" borderId="0" xfId="2" applyFont="1"/>
    <xf numFmtId="2" fontId="4" fillId="0" borderId="0" xfId="2" applyNumberFormat="1" applyFont="1" applyAlignment="1">
      <alignment horizontal="center" vertical="center"/>
    </xf>
    <xf numFmtId="0" fontId="9" fillId="0" borderId="0" xfId="2" applyFont="1"/>
    <xf numFmtId="0" fontId="9" fillId="0" borderId="14" xfId="2" applyFont="1" applyBorder="1" applyAlignment="1">
      <alignment horizontal="left"/>
    </xf>
    <xf numFmtId="0" fontId="9" fillId="0" borderId="14" xfId="2" applyFont="1" applyBorder="1" applyAlignment="1">
      <alignment horizontal="center"/>
    </xf>
    <xf numFmtId="2" fontId="9" fillId="0" borderId="14" xfId="2" applyNumberFormat="1" applyFont="1" applyBorder="1" applyAlignment="1">
      <alignment horizontal="center"/>
    </xf>
    <xf numFmtId="0" fontId="4" fillId="0" borderId="0" xfId="2" applyFont="1" applyBorder="1" applyAlignment="1">
      <alignment horizontal="left"/>
    </xf>
    <xf numFmtId="0" fontId="4" fillId="0" borderId="0" xfId="2" applyFont="1" applyBorder="1" applyAlignment="1">
      <alignment horizontal="center" vertical="center"/>
    </xf>
    <xf numFmtId="164" fontId="4" fillId="0" borderId="0" xfId="2" applyNumberFormat="1" applyFont="1" applyBorder="1" applyAlignment="1">
      <alignment horizontal="right" vertical="center"/>
    </xf>
    <xf numFmtId="0" fontId="9" fillId="0" borderId="0" xfId="2" applyFont="1" applyAlignment="1"/>
    <xf numFmtId="0" fontId="9" fillId="0" borderId="0" xfId="2" applyFont="1" applyBorder="1" applyAlignment="1">
      <alignment horizontal="left"/>
    </xf>
    <xf numFmtId="0" fontId="9" fillId="0" borderId="0" xfId="2" applyFont="1" applyBorder="1" applyAlignment="1">
      <alignment horizontal="left" vertical="top"/>
    </xf>
    <xf numFmtId="0" fontId="9" fillId="0" borderId="0" xfId="2" applyFont="1" applyBorder="1"/>
    <xf numFmtId="164" fontId="9" fillId="0" borderId="0" xfId="2" applyNumberFormat="1" applyFont="1"/>
    <xf numFmtId="165" fontId="9" fillId="0" borderId="0" xfId="2" applyNumberFormat="1" applyFont="1" applyBorder="1" applyAlignment="1">
      <alignment horizontal="right"/>
    </xf>
    <xf numFmtId="0" fontId="9" fillId="0" borderId="0" xfId="2" applyFont="1" applyAlignment="1">
      <alignment horizontal="right" vertical="top"/>
    </xf>
    <xf numFmtId="0" fontId="8" fillId="0" borderId="0" xfId="2" applyFont="1"/>
    <xf numFmtId="0" fontId="9" fillId="0" borderId="14" xfId="2" applyFont="1" applyBorder="1" applyAlignment="1">
      <alignment horizontal="left" wrapText="1"/>
    </xf>
    <xf numFmtId="49" fontId="8" fillId="0" borderId="0" xfId="2" applyNumberFormat="1" applyFont="1" applyFill="1" applyBorder="1" applyAlignment="1">
      <alignment horizontal="right" vertical="center"/>
    </xf>
    <xf numFmtId="49" fontId="8" fillId="0" borderId="14" xfId="2" applyNumberFormat="1" applyFont="1" applyFill="1" applyBorder="1" applyAlignment="1">
      <alignment horizontal="right" vertical="center"/>
    </xf>
    <xf numFmtId="0" fontId="9" fillId="0" borderId="14" xfId="2" applyFont="1" applyBorder="1"/>
    <xf numFmtId="164" fontId="7" fillId="0" borderId="0" xfId="2" applyNumberFormat="1" applyFont="1" applyAlignment="1">
      <alignment horizontal="right" vertical="center"/>
    </xf>
    <xf numFmtId="164" fontId="8" fillId="0" borderId="0" xfId="2" applyNumberFormat="1" applyFont="1"/>
    <xf numFmtId="2" fontId="9" fillId="0" borderId="0" xfId="2" applyNumberFormat="1" applyFont="1" applyAlignment="1">
      <alignment horizontal="center" vertical="center"/>
    </xf>
    <xf numFmtId="0" fontId="5" fillId="0" borderId="0" xfId="4" applyFont="1" applyBorder="1" applyAlignment="1">
      <alignment horizontal="left" vertical="top" wrapText="1"/>
    </xf>
    <xf numFmtId="0" fontId="6" fillId="0" borderId="0" xfId="4" applyFont="1" applyBorder="1" applyAlignment="1">
      <alignment horizontal="left" wrapText="1"/>
    </xf>
    <xf numFmtId="0" fontId="9" fillId="0" borderId="0" xfId="4" applyFont="1" applyAlignment="1">
      <alignment horizontal="center"/>
    </xf>
    <xf numFmtId="4" fontId="9" fillId="0" borderId="0" xfId="4" applyNumberFormat="1" applyFont="1" applyAlignment="1"/>
    <xf numFmtId="164" fontId="9" fillId="0" borderId="0" xfId="4" applyNumberFormat="1" applyFont="1"/>
    <xf numFmtId="0" fontId="9" fillId="0" borderId="0" xfId="4" applyFont="1"/>
    <xf numFmtId="0" fontId="21" fillId="0" borderId="2" xfId="4" applyFont="1" applyFill="1" applyBorder="1" applyAlignment="1">
      <alignment horizontal="center" vertical="center" wrapText="1"/>
    </xf>
    <xf numFmtId="0" fontId="21" fillId="0" borderId="2" xfId="4" applyFont="1" applyFill="1" applyBorder="1" applyAlignment="1">
      <alignment horizontal="left" vertical="center" wrapText="1"/>
    </xf>
    <xf numFmtId="164" fontId="21" fillId="0" borderId="2" xfId="5" applyNumberFormat="1" applyFont="1" applyFill="1" applyBorder="1" applyAlignment="1">
      <alignment horizontal="right" vertical="center" wrapText="1"/>
    </xf>
    <xf numFmtId="4" fontId="19" fillId="0" borderId="0" xfId="4" applyNumberFormat="1" applyFont="1" applyFill="1" applyBorder="1" applyAlignment="1">
      <alignment horizontal="center" vertical="top"/>
    </xf>
    <xf numFmtId="4" fontId="25" fillId="0" borderId="0" xfId="4" applyNumberFormat="1" applyFont="1" applyFill="1" applyBorder="1" applyAlignment="1">
      <alignment horizontal="left" vertical="top" wrapText="1"/>
    </xf>
    <xf numFmtId="166" fontId="26" fillId="0" borderId="0" xfId="5" applyFont="1" applyFill="1" applyBorder="1" applyAlignment="1">
      <alignment horizontal="center" vertical="top" wrapText="1"/>
    </xf>
    <xf numFmtId="4" fontId="26" fillId="0" borderId="0" xfId="5" applyNumberFormat="1" applyFont="1" applyFill="1" applyBorder="1" applyAlignment="1">
      <alignment vertical="top" wrapText="1"/>
    </xf>
    <xf numFmtId="164" fontId="19" fillId="0" borderId="0" xfId="5" applyNumberFormat="1" applyFont="1" applyFill="1" applyBorder="1" applyAlignment="1">
      <alignment horizontal="right"/>
    </xf>
    <xf numFmtId="4" fontId="27" fillId="0" borderId="0" xfId="4" applyNumberFormat="1" applyFont="1" applyFill="1" applyAlignment="1">
      <alignment horizontal="center" vertical="top"/>
    </xf>
    <xf numFmtId="4" fontId="27" fillId="0" borderId="0" xfId="4" applyNumberFormat="1" applyFont="1" applyFill="1" applyAlignment="1">
      <alignment horizontal="left" vertical="top" wrapText="1"/>
    </xf>
    <xf numFmtId="166" fontId="28" fillId="0" borderId="0" xfId="5" applyFont="1" applyFill="1" applyAlignment="1">
      <alignment horizontal="center" vertical="top" wrapText="1"/>
    </xf>
    <xf numFmtId="4" fontId="28" fillId="0" borderId="0" xfId="5" applyNumberFormat="1" applyFont="1" applyFill="1" applyAlignment="1">
      <alignment vertical="top" wrapText="1"/>
    </xf>
    <xf numFmtId="164" fontId="19" fillId="0" borderId="0" xfId="5" applyNumberFormat="1" applyFont="1" applyFill="1" applyAlignment="1">
      <alignment horizontal="right"/>
    </xf>
    <xf numFmtId="4" fontId="29" fillId="0" borderId="0" xfId="4" applyNumberFormat="1" applyFont="1" applyFill="1" applyAlignment="1">
      <alignment horizontal="center" vertical="top"/>
    </xf>
    <xf numFmtId="4" fontId="29" fillId="0" borderId="0" xfId="4" applyNumberFormat="1" applyFont="1" applyFill="1" applyAlignment="1">
      <alignment horizontal="left" vertical="top" wrapText="1"/>
    </xf>
    <xf numFmtId="166" fontId="30" fillId="0" borderId="0" xfId="5" applyFont="1" applyFill="1" applyAlignment="1">
      <alignment horizontal="center" vertical="top" wrapText="1"/>
    </xf>
    <xf numFmtId="4" fontId="30" fillId="0" borderId="0" xfId="5" applyNumberFormat="1" applyFont="1" applyFill="1" applyAlignment="1">
      <alignment vertical="top" wrapText="1"/>
    </xf>
    <xf numFmtId="4" fontId="31" fillId="0" borderId="0" xfId="4" applyNumberFormat="1" applyFont="1" applyFill="1" applyAlignment="1">
      <alignment horizontal="center" vertical="top"/>
    </xf>
    <xf numFmtId="4" fontId="21" fillId="0" borderId="0" xfId="4" applyNumberFormat="1" applyFont="1" applyFill="1" applyAlignment="1">
      <alignment horizontal="center" vertical="top"/>
    </xf>
    <xf numFmtId="4" fontId="19" fillId="0" borderId="0" xfId="4" applyNumberFormat="1" applyFont="1" applyFill="1" applyAlignment="1">
      <alignment horizontal="left" vertical="top" wrapText="1"/>
    </xf>
    <xf numFmtId="166" fontId="19" fillId="0" borderId="0" xfId="5" applyFont="1" applyFill="1" applyAlignment="1">
      <alignment horizontal="center" vertical="top" wrapText="1"/>
    </xf>
    <xf numFmtId="4" fontId="19" fillId="0" borderId="0" xfId="5" applyNumberFormat="1" applyFont="1" applyFill="1" applyAlignment="1">
      <alignment vertical="top" wrapText="1"/>
    </xf>
    <xf numFmtId="4" fontId="19" fillId="0" borderId="0" xfId="4" applyNumberFormat="1" applyFont="1" applyFill="1" applyAlignment="1">
      <alignment horizontal="center" vertical="top"/>
    </xf>
    <xf numFmtId="4" fontId="21" fillId="0" borderId="0" xfId="4" applyNumberFormat="1" applyFont="1" applyFill="1" applyAlignment="1">
      <alignment horizontal="left" vertical="top" wrapText="1"/>
    </xf>
    <xf numFmtId="4" fontId="19" fillId="0" borderId="0" xfId="4" applyNumberFormat="1" applyFont="1" applyFill="1" applyAlignment="1">
      <alignment vertical="top" wrapText="1"/>
    </xf>
    <xf numFmtId="166" fontId="19" fillId="0" borderId="0" xfId="5" applyFont="1" applyFill="1" applyAlignment="1">
      <alignment horizontal="right" vertical="top" wrapText="1"/>
    </xf>
    <xf numFmtId="4" fontId="19" fillId="0" borderId="0" xfId="4" applyNumberFormat="1" applyFont="1" applyFill="1" applyAlignment="1">
      <alignment horizontal="left" vertical="top"/>
    </xf>
    <xf numFmtId="164" fontId="19" fillId="0" borderId="0" xfId="5" applyNumberFormat="1" applyFont="1" applyFill="1" applyAlignment="1"/>
    <xf numFmtId="164" fontId="9" fillId="0" borderId="0" xfId="4" applyNumberFormat="1" applyFont="1" applyAlignment="1">
      <alignment horizontal="center"/>
    </xf>
    <xf numFmtId="4" fontId="19" fillId="0" borderId="0" xfId="4" applyNumberFormat="1" applyFont="1" applyFill="1" applyAlignment="1">
      <alignment horizontal="right" vertical="top" wrapText="1"/>
    </xf>
    <xf numFmtId="4" fontId="19" fillId="0" borderId="14" xfId="4" applyNumberFormat="1" applyFont="1" applyFill="1" applyBorder="1" applyAlignment="1">
      <alignment horizontal="center" vertical="top"/>
    </xf>
    <xf numFmtId="4" fontId="19" fillId="0" borderId="14" xfId="4" applyNumberFormat="1" applyFont="1" applyFill="1" applyBorder="1" applyAlignment="1">
      <alignment horizontal="left" vertical="top" wrapText="1"/>
    </xf>
    <xf numFmtId="166" fontId="19" fillId="0" borderId="14" xfId="5" applyFont="1" applyFill="1" applyBorder="1" applyAlignment="1">
      <alignment horizontal="center" vertical="top" wrapText="1"/>
    </xf>
    <xf numFmtId="4" fontId="19" fillId="0" borderId="14" xfId="5" applyNumberFormat="1" applyFont="1" applyFill="1" applyBorder="1" applyAlignment="1">
      <alignment vertical="top" wrapText="1"/>
    </xf>
    <xf numFmtId="164" fontId="19" fillId="0" borderId="14" xfId="5" applyNumberFormat="1" applyFont="1" applyFill="1" applyBorder="1" applyAlignment="1">
      <alignment horizontal="right"/>
    </xf>
    <xf numFmtId="4" fontId="32" fillId="0" borderId="14" xfId="4" applyNumberFormat="1" applyFont="1" applyFill="1" applyBorder="1" applyAlignment="1">
      <alignment horizontal="left" vertical="top" wrapText="1"/>
    </xf>
    <xf numFmtId="166" fontId="33" fillId="0" borderId="14" xfId="5" applyFont="1" applyFill="1" applyBorder="1" applyAlignment="1">
      <alignment horizontal="center" vertical="top" wrapText="1"/>
    </xf>
    <xf numFmtId="4" fontId="33" fillId="0" borderId="14" xfId="5" applyNumberFormat="1" applyFont="1" applyFill="1" applyBorder="1" applyAlignment="1">
      <alignment vertical="top" wrapText="1"/>
    </xf>
    <xf numFmtId="164" fontId="9" fillId="0" borderId="0" xfId="1" applyNumberFormat="1" applyFont="1" applyFill="1" applyBorder="1" applyAlignment="1">
      <alignment horizontal="right"/>
    </xf>
    <xf numFmtId="164" fontId="9" fillId="0" borderId="14" xfId="2" applyNumberFormat="1" applyFont="1" applyFill="1" applyBorder="1" applyAlignment="1">
      <alignment horizontal="right"/>
    </xf>
    <xf numFmtId="0" fontId="9" fillId="0" borderId="0" xfId="0" applyFont="1" applyAlignment="1">
      <alignment horizontal="center"/>
    </xf>
    <xf numFmtId="2" fontId="4" fillId="0" borderId="0" xfId="0" quotePrefix="1" applyNumberFormat="1" applyFont="1" applyAlignment="1">
      <alignment vertical="justify" wrapText="1"/>
    </xf>
    <xf numFmtId="0" fontId="13" fillId="0" borderId="0" xfId="0" applyFont="1" applyBorder="1" applyAlignment="1">
      <alignment horizontal="center" vertical="center" wrapText="1"/>
    </xf>
    <xf numFmtId="164" fontId="13" fillId="0" borderId="0" xfId="0" applyNumberFormat="1" applyFont="1" applyBorder="1" applyAlignment="1">
      <alignment horizontal="center" vertical="center" wrapText="1"/>
    </xf>
    <xf numFmtId="16" fontId="13" fillId="0" borderId="0" xfId="0" quotePrefix="1" applyNumberFormat="1" applyFont="1" applyBorder="1" applyAlignment="1">
      <alignment horizontal="center" vertical="center" wrapText="1"/>
    </xf>
    <xf numFmtId="4" fontId="13" fillId="0" borderId="0" xfId="0" applyNumberFormat="1" applyFont="1" applyBorder="1" applyAlignment="1">
      <alignment horizontal="left" vertical="center" wrapText="1"/>
    </xf>
    <xf numFmtId="164" fontId="13" fillId="0" borderId="0" xfId="0" applyNumberFormat="1" applyFont="1" applyBorder="1" applyAlignment="1">
      <alignment horizontal="right" vertical="center" wrapText="1"/>
    </xf>
    <xf numFmtId="0" fontId="13" fillId="0" borderId="0" xfId="0" quotePrefix="1" applyFont="1" applyBorder="1" applyAlignment="1">
      <alignment horizontal="center" vertical="center" wrapText="1"/>
    </xf>
    <xf numFmtId="0" fontId="9" fillId="0" borderId="1" xfId="0" applyFont="1" applyBorder="1" applyAlignment="1">
      <alignment horizontal="left" vertical="center" wrapText="1"/>
    </xf>
    <xf numFmtId="164" fontId="13" fillId="0" borderId="1" xfId="0" applyNumberFormat="1" applyFont="1" applyBorder="1" applyAlignment="1">
      <alignment horizontal="right" vertical="center" wrapText="1"/>
    </xf>
    <xf numFmtId="0" fontId="9" fillId="0" borderId="0" xfId="0" applyFont="1" applyBorder="1" applyAlignment="1">
      <alignment horizontal="right" vertical="center" wrapText="1"/>
    </xf>
    <xf numFmtId="0" fontId="13" fillId="0" borderId="0" xfId="0" applyFont="1" applyBorder="1" applyAlignment="1">
      <alignment horizontal="right" vertical="center" wrapText="1"/>
    </xf>
    <xf numFmtId="164" fontId="34" fillId="0" borderId="0" xfId="0" applyNumberFormat="1" applyFont="1" applyBorder="1" applyAlignment="1">
      <alignment horizontal="right" vertical="center" wrapText="1"/>
    </xf>
    <xf numFmtId="0" fontId="13" fillId="0" borderId="1" xfId="0" applyFont="1" applyBorder="1" applyAlignment="1">
      <alignment horizontal="right" vertical="center" wrapText="1"/>
    </xf>
    <xf numFmtId="0" fontId="9" fillId="0" borderId="0" xfId="0" applyFont="1" applyAlignment="1">
      <alignment horizontal="right"/>
    </xf>
    <xf numFmtId="0" fontId="9" fillId="0" borderId="0" xfId="0" applyFont="1" applyAlignment="1">
      <alignment horizontal="left"/>
    </xf>
    <xf numFmtId="0" fontId="34" fillId="0" borderId="0" xfId="0" applyFont="1" applyAlignment="1"/>
    <xf numFmtId="0" fontId="4" fillId="0" borderId="0" xfId="0" applyFont="1" applyAlignment="1"/>
    <xf numFmtId="0" fontId="18" fillId="0" borderId="0" xfId="2" applyFont="1" applyAlignment="1">
      <alignment horizontal="left" vertical="top"/>
    </xf>
    <xf numFmtId="0" fontId="18" fillId="0" borderId="0" xfId="4" applyFont="1" applyBorder="1" applyAlignment="1">
      <alignment horizontal="left" wrapText="1"/>
    </xf>
    <xf numFmtId="164" fontId="21" fillId="0" borderId="14" xfId="5" applyNumberFormat="1" applyFont="1" applyFill="1" applyBorder="1" applyAlignment="1">
      <alignment horizontal="right"/>
    </xf>
    <xf numFmtId="0" fontId="4" fillId="0" borderId="0" xfId="0" applyFont="1" applyAlignment="1">
      <alignment wrapText="1"/>
    </xf>
    <xf numFmtId="2" fontId="18" fillId="0" borderId="0" xfId="0" applyNumberFormat="1" applyFont="1" applyFill="1" applyAlignment="1">
      <alignment vertical="justify" wrapText="1"/>
    </xf>
    <xf numFmtId="0" fontId="4" fillId="0" borderId="0" xfId="2" applyFont="1" applyBorder="1" applyAlignment="1">
      <alignment horizontal="left" vertical="center" wrapText="1"/>
    </xf>
    <xf numFmtId="49" fontId="5" fillId="0" borderId="0" xfId="2" applyNumberFormat="1" applyFont="1" applyFill="1" applyBorder="1" applyAlignment="1">
      <alignment horizontal="center" vertical="top"/>
    </xf>
    <xf numFmtId="4" fontId="1" fillId="0" borderId="15" xfId="0" applyNumberFormat="1" applyFont="1" applyBorder="1"/>
    <xf numFmtId="4" fontId="1" fillId="0" borderId="16" xfId="0" applyNumberFormat="1" applyFont="1" applyBorder="1"/>
    <xf numFmtId="4" fontId="1" fillId="0" borderId="17" xfId="0" applyNumberFormat="1" applyFont="1" applyBorder="1" applyAlignment="1">
      <alignment horizontal="center" wrapText="1"/>
    </xf>
    <xf numFmtId="4" fontId="1" fillId="0" borderId="18" xfId="0" applyNumberFormat="1" applyFont="1" applyBorder="1" applyAlignment="1">
      <alignment horizontal="center" wrapText="1"/>
    </xf>
    <xf numFmtId="4" fontId="1" fillId="0" borderId="19" xfId="0" applyNumberFormat="1" applyFont="1" applyBorder="1" applyAlignment="1">
      <alignment horizontal="center" wrapText="1"/>
    </xf>
    <xf numFmtId="4" fontId="1" fillId="0" borderId="6" xfId="0" applyNumberFormat="1" applyFont="1" applyBorder="1"/>
    <xf numFmtId="4" fontId="1" fillId="0" borderId="7" xfId="0" applyNumberFormat="1" applyFont="1" applyBorder="1"/>
    <xf numFmtId="4" fontId="1" fillId="0" borderId="20" xfId="0" applyNumberFormat="1" applyFont="1" applyBorder="1"/>
    <xf numFmtId="4" fontId="1" fillId="0" borderId="5" xfId="0" applyNumberFormat="1" applyFont="1" applyBorder="1"/>
  </cellXfs>
  <cellStyles count="6">
    <cellStyle name="Comma 2" xfId="5"/>
    <cellStyle name="Dobro" xfId="1" builtinId="26"/>
    <cellStyle name="Navadno" xfId="0" builtinId="0"/>
    <cellStyle name="Normal 2" xfId="2"/>
    <cellStyle name="Normal 3" xfId="4"/>
    <cellStyle name="Normal_I-BREZOV"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I49"/>
  <sheetViews>
    <sheetView tabSelected="1" zoomScale="90" zoomScaleNormal="90" workbookViewId="0">
      <selection activeCell="B24" sqref="B24"/>
    </sheetView>
  </sheetViews>
  <sheetFormatPr defaultRowHeight="12.75" x14ac:dyDescent="0.2"/>
  <cols>
    <col min="1" max="1" width="14.28515625" style="41" customWidth="1"/>
    <col min="2" max="2" width="42" style="41" bestFit="1" customWidth="1"/>
    <col min="3" max="3" width="27.85546875" style="40" customWidth="1"/>
    <col min="4" max="16384" width="9.140625" style="41"/>
  </cols>
  <sheetData>
    <row r="1" spans="1:9" ht="33.75" customHeight="1" x14ac:dyDescent="0.2">
      <c r="A1" s="47" t="s">
        <v>68</v>
      </c>
      <c r="B1" s="293" t="s">
        <v>167</v>
      </c>
      <c r="C1" s="293"/>
      <c r="D1" s="58"/>
      <c r="E1" s="58"/>
      <c r="F1" s="58"/>
      <c r="G1" s="58"/>
      <c r="H1" s="59"/>
      <c r="I1" s="59"/>
    </row>
    <row r="2" spans="1:9" x14ac:dyDescent="0.2">
      <c r="A2" s="47" t="s">
        <v>69</v>
      </c>
      <c r="B2" s="289" t="s">
        <v>168</v>
      </c>
      <c r="C2" s="58"/>
      <c r="D2" s="58"/>
      <c r="E2" s="58"/>
      <c r="F2" s="58"/>
      <c r="G2" s="58"/>
      <c r="H2" s="58"/>
      <c r="I2" s="58"/>
    </row>
    <row r="3" spans="1:9" x14ac:dyDescent="0.2">
      <c r="A3" s="42" t="s">
        <v>70</v>
      </c>
      <c r="B3" s="273" t="s">
        <v>169</v>
      </c>
      <c r="C3" s="58"/>
      <c r="D3" s="59"/>
      <c r="E3" s="60"/>
      <c r="F3" s="61"/>
      <c r="G3" s="59"/>
      <c r="H3" s="59"/>
      <c r="I3" s="59"/>
    </row>
    <row r="4" spans="1:9" x14ac:dyDescent="0.2">
      <c r="A4" s="42"/>
      <c r="B4" s="273"/>
      <c r="C4" s="58"/>
      <c r="D4" s="59"/>
      <c r="E4" s="60"/>
      <c r="F4" s="61"/>
      <c r="G4" s="59"/>
      <c r="H4" s="59"/>
      <c r="I4" s="59"/>
    </row>
    <row r="5" spans="1:9" x14ac:dyDescent="0.2">
      <c r="A5" s="42"/>
      <c r="B5" s="273"/>
      <c r="C5" s="58"/>
      <c r="D5" s="59"/>
      <c r="E5" s="60"/>
      <c r="F5" s="61"/>
      <c r="G5" s="59"/>
      <c r="H5" s="59"/>
      <c r="I5" s="59"/>
    </row>
    <row r="6" spans="1:9" x14ac:dyDescent="0.2">
      <c r="A6" s="42"/>
      <c r="B6" s="273"/>
      <c r="C6" s="58"/>
      <c r="D6" s="59"/>
      <c r="E6" s="60"/>
      <c r="F6" s="61"/>
      <c r="G6" s="59"/>
      <c r="H6" s="59"/>
      <c r="I6" s="59"/>
    </row>
    <row r="8" spans="1:9" x14ac:dyDescent="0.2">
      <c r="A8" s="288" t="s">
        <v>166</v>
      </c>
    </row>
    <row r="9" spans="1:9" x14ac:dyDescent="0.2">
      <c r="A9" s="288"/>
    </row>
    <row r="10" spans="1:9" x14ac:dyDescent="0.2">
      <c r="A10" s="274" t="s">
        <v>61</v>
      </c>
      <c r="B10" s="274" t="s">
        <v>62</v>
      </c>
      <c r="C10" s="275" t="s">
        <v>12</v>
      </c>
    </row>
    <row r="11" spans="1:9" ht="16.5" customHeight="1" x14ac:dyDescent="0.2">
      <c r="A11" s="272"/>
      <c r="E11" s="39"/>
      <c r="H11" s="39"/>
    </row>
    <row r="12" spans="1:9" ht="16.5" customHeight="1" x14ac:dyDescent="0.2">
      <c r="A12" s="276" t="s">
        <v>228</v>
      </c>
      <c r="B12" s="277" t="s">
        <v>226</v>
      </c>
      <c r="C12" s="278">
        <f>'1.faza-meteorna'!F93</f>
        <v>0</v>
      </c>
      <c r="E12" s="39"/>
      <c r="H12" s="39"/>
    </row>
    <row r="13" spans="1:9" ht="16.5" customHeight="1" x14ac:dyDescent="0.2">
      <c r="A13" s="276" t="s">
        <v>229</v>
      </c>
      <c r="B13" s="277" t="s">
        <v>237</v>
      </c>
      <c r="C13" s="278">
        <f>'1.faza-drenaže'!F42</f>
        <v>0</v>
      </c>
      <c r="E13" s="39"/>
      <c r="H13" s="39"/>
    </row>
    <row r="14" spans="1:9" ht="16.5" customHeight="1" x14ac:dyDescent="0.2">
      <c r="A14" s="279" t="s">
        <v>230</v>
      </c>
      <c r="B14" s="277" t="s">
        <v>238</v>
      </c>
      <c r="C14" s="278">
        <f>'1.faza-mulda'!F45</f>
        <v>0</v>
      </c>
      <c r="E14" s="39"/>
      <c r="H14" s="39"/>
    </row>
    <row r="15" spans="1:9" ht="13.5" thickBot="1" x14ac:dyDescent="0.25">
      <c r="A15" s="274"/>
      <c r="B15" s="280"/>
      <c r="C15" s="281"/>
    </row>
    <row r="16" spans="1:9" x14ac:dyDescent="0.2">
      <c r="A16" s="274"/>
      <c r="B16" s="282"/>
      <c r="C16" s="278"/>
    </row>
    <row r="17" spans="1:5" x14ac:dyDescent="0.2">
      <c r="A17" s="283"/>
      <c r="B17" s="283" t="s">
        <v>232</v>
      </c>
      <c r="C17" s="284">
        <f>SUM(C12:C14)</f>
        <v>0</v>
      </c>
      <c r="E17" s="39"/>
    </row>
    <row r="18" spans="1:5" ht="13.5" thickBot="1" x14ac:dyDescent="0.25">
      <c r="A18" s="283"/>
      <c r="B18" s="285" t="s">
        <v>233</v>
      </c>
      <c r="C18" s="281">
        <f>C17*0.22</f>
        <v>0</v>
      </c>
    </row>
    <row r="19" spans="1:5" x14ac:dyDescent="0.2">
      <c r="A19" s="283"/>
      <c r="B19" s="283" t="s">
        <v>234</v>
      </c>
      <c r="C19" s="284">
        <f>SUM(C17:C18)</f>
        <v>0</v>
      </c>
    </row>
    <row r="20" spans="1:5" x14ac:dyDescent="0.2">
      <c r="A20" s="283"/>
      <c r="B20" s="283"/>
      <c r="C20" s="284"/>
    </row>
    <row r="21" spans="1:5" x14ac:dyDescent="0.2">
      <c r="A21" s="283"/>
      <c r="B21" s="283"/>
      <c r="C21" s="284"/>
    </row>
    <row r="22" spans="1:5" x14ac:dyDescent="0.2">
      <c r="A22" s="283"/>
      <c r="B22" s="283"/>
      <c r="C22" s="284"/>
    </row>
    <row r="23" spans="1:5" x14ac:dyDescent="0.2">
      <c r="A23" s="286"/>
    </row>
    <row r="24" spans="1:5" x14ac:dyDescent="0.2">
      <c r="A24" s="283"/>
      <c r="B24" s="283"/>
      <c r="C24" s="284"/>
    </row>
    <row r="25" spans="1:5" x14ac:dyDescent="0.2">
      <c r="A25" s="283"/>
      <c r="B25" s="283"/>
      <c r="C25" s="284"/>
    </row>
    <row r="26" spans="1:5" x14ac:dyDescent="0.2">
      <c r="A26" s="283"/>
      <c r="B26" s="283"/>
      <c r="C26" s="284"/>
    </row>
    <row r="27" spans="1:5" x14ac:dyDescent="0.2">
      <c r="A27" s="286"/>
    </row>
    <row r="28" spans="1:5" x14ac:dyDescent="0.2">
      <c r="A28" s="276" t="s">
        <v>231</v>
      </c>
      <c r="B28" s="277" t="s">
        <v>239</v>
      </c>
      <c r="C28" s="278">
        <f>'2.faza-drenaže'!F40</f>
        <v>0</v>
      </c>
    </row>
    <row r="29" spans="1:5" ht="13.5" thickBot="1" x14ac:dyDescent="0.25">
      <c r="A29" s="274"/>
      <c r="B29" s="280"/>
      <c r="C29" s="281"/>
    </row>
    <row r="30" spans="1:5" x14ac:dyDescent="0.2">
      <c r="A30" s="274"/>
      <c r="B30" s="282"/>
      <c r="C30" s="278"/>
    </row>
    <row r="31" spans="1:5" x14ac:dyDescent="0.2">
      <c r="A31" s="283"/>
      <c r="B31" s="283" t="s">
        <v>235</v>
      </c>
      <c r="C31" s="284">
        <f>SUM(C28:C28)</f>
        <v>0</v>
      </c>
    </row>
    <row r="32" spans="1:5" ht="13.5" thickBot="1" x14ac:dyDescent="0.25">
      <c r="A32" s="283"/>
      <c r="B32" s="285" t="s">
        <v>233</v>
      </c>
      <c r="C32" s="281">
        <f>C31*0.22</f>
        <v>0</v>
      </c>
    </row>
    <row r="33" spans="1:3" x14ac:dyDescent="0.2">
      <c r="A33" s="283"/>
      <c r="B33" s="283" t="s">
        <v>236</v>
      </c>
      <c r="C33" s="284">
        <f>SUM(C31:C32)</f>
        <v>0</v>
      </c>
    </row>
    <row r="42" spans="1:3" x14ac:dyDescent="0.2">
      <c r="B42" s="283" t="s">
        <v>240</v>
      </c>
      <c r="C42" s="284">
        <f>+C31+C17</f>
        <v>0</v>
      </c>
    </row>
    <row r="43" spans="1:3" ht="13.5" thickBot="1" x14ac:dyDescent="0.25">
      <c r="B43" s="285" t="s">
        <v>233</v>
      </c>
      <c r="C43" s="281">
        <f>C42*0.22</f>
        <v>0</v>
      </c>
    </row>
    <row r="44" spans="1:3" x14ac:dyDescent="0.2">
      <c r="B44" s="283" t="s">
        <v>241</v>
      </c>
      <c r="C44" s="284">
        <f>SUM(C42:C43)</f>
        <v>0</v>
      </c>
    </row>
    <row r="45" spans="1:3" x14ac:dyDescent="0.2">
      <c r="B45" s="283"/>
      <c r="C45" s="284"/>
    </row>
    <row r="46" spans="1:3" x14ac:dyDescent="0.2">
      <c r="B46" s="283"/>
      <c r="C46" s="284"/>
    </row>
    <row r="49" spans="1:1" x14ac:dyDescent="0.2">
      <c r="A49" s="287"/>
    </row>
  </sheetData>
  <mergeCells count="1">
    <mergeCell ref="B1:C1"/>
  </mergeCells>
  <phoneticPr fontId="0" type="noConversion"/>
  <pageMargins left="0.98425196850393704"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F95"/>
  <sheetViews>
    <sheetView view="pageBreakPreview" topLeftCell="A65" zoomScaleNormal="100" zoomScaleSheetLayoutView="100" workbookViewId="0">
      <selection activeCell="D87" sqref="D87"/>
    </sheetView>
  </sheetViews>
  <sheetFormatPr defaultColWidth="8.85546875" defaultRowHeight="12.75" x14ac:dyDescent="0.2"/>
  <cols>
    <col min="1" max="1" width="9.140625" style="47" customWidth="1"/>
    <col min="2" max="2" width="37.7109375" style="65" customWidth="1"/>
    <col min="3" max="3" width="6.42578125" style="64" customWidth="1"/>
    <col min="4" max="4" width="12.140625" style="62" customWidth="1"/>
    <col min="5" max="5" width="11.28515625" style="63" customWidth="1"/>
    <col min="6" max="6" width="13.140625" style="40" customWidth="1"/>
    <col min="7" max="16384" width="8.85546875" style="41"/>
  </cols>
  <sheetData>
    <row r="1" spans="1:6" ht="18" x14ac:dyDescent="0.2">
      <c r="A1" s="42"/>
      <c r="B1" s="66"/>
    </row>
    <row r="2" spans="1:6" ht="16.5" x14ac:dyDescent="0.2">
      <c r="A2" s="42"/>
      <c r="B2" s="294" t="s">
        <v>226</v>
      </c>
      <c r="C2" s="294"/>
      <c r="D2" s="294"/>
      <c r="E2" s="294"/>
      <c r="F2" s="294"/>
    </row>
    <row r="3" spans="1:6" ht="18" x14ac:dyDescent="0.2">
      <c r="A3" s="42"/>
      <c r="B3" s="66"/>
    </row>
    <row r="4" spans="1:6" x14ac:dyDescent="0.2">
      <c r="A4" s="43" t="s">
        <v>0</v>
      </c>
      <c r="B4" s="71" t="s">
        <v>14</v>
      </c>
    </row>
    <row r="6" spans="1:6" x14ac:dyDescent="0.2">
      <c r="A6" s="43" t="s">
        <v>8</v>
      </c>
      <c r="B6" s="71" t="s">
        <v>7</v>
      </c>
      <c r="C6" s="72" t="s">
        <v>9</v>
      </c>
      <c r="D6" s="73" t="s">
        <v>10</v>
      </c>
      <c r="E6" s="74" t="s">
        <v>11</v>
      </c>
      <c r="F6" s="44" t="s">
        <v>12</v>
      </c>
    </row>
    <row r="8" spans="1:6" ht="25.5" x14ac:dyDescent="0.2">
      <c r="A8" s="45">
        <v>1</v>
      </c>
      <c r="B8" s="75" t="s">
        <v>64</v>
      </c>
      <c r="C8" s="64" t="s">
        <v>15</v>
      </c>
      <c r="D8" s="62">
        <f>'baza-meteorna kolicine'!I31</f>
        <v>89.440000000000012</v>
      </c>
      <c r="E8" s="63">
        <v>0</v>
      </c>
      <c r="F8" s="40">
        <f>E8*D8</f>
        <v>0</v>
      </c>
    </row>
    <row r="9" spans="1:6" ht="10.5" customHeight="1" x14ac:dyDescent="0.2">
      <c r="A9" s="45"/>
      <c r="B9" s="75"/>
    </row>
    <row r="10" spans="1:6" ht="51" x14ac:dyDescent="0.2">
      <c r="A10" s="45">
        <v>2</v>
      </c>
      <c r="B10" s="75" t="s">
        <v>4</v>
      </c>
      <c r="C10" s="64" t="s">
        <v>5</v>
      </c>
      <c r="D10" s="62">
        <f>+'baza-meteorna kolicine'!A31*2</f>
        <v>12</v>
      </c>
      <c r="E10" s="63">
        <v>0</v>
      </c>
      <c r="F10" s="40">
        <f>E10*D10</f>
        <v>0</v>
      </c>
    </row>
    <row r="11" spans="1:6" ht="13.5" customHeight="1" x14ac:dyDescent="0.2">
      <c r="A11" s="45"/>
      <c r="B11" s="75"/>
    </row>
    <row r="12" spans="1:6" ht="42.6" customHeight="1" x14ac:dyDescent="0.2">
      <c r="A12" s="45">
        <v>3</v>
      </c>
      <c r="B12" s="75" t="s">
        <v>66</v>
      </c>
      <c r="C12" s="64" t="s">
        <v>6</v>
      </c>
      <c r="D12" s="62">
        <v>1</v>
      </c>
      <c r="E12" s="63">
        <v>0</v>
      </c>
      <c r="F12" s="40">
        <f t="shared" ref="F11:F14" si="0">E12*D12</f>
        <v>0</v>
      </c>
    </row>
    <row r="13" spans="1:6" ht="15.75" customHeight="1" x14ac:dyDescent="0.2">
      <c r="A13" s="45"/>
      <c r="B13" s="75"/>
    </row>
    <row r="14" spans="1:6" ht="42" customHeight="1" thickBot="1" x14ac:dyDescent="0.25">
      <c r="A14" s="45">
        <v>4</v>
      </c>
      <c r="B14" s="75" t="s">
        <v>13</v>
      </c>
      <c r="C14" s="76" t="s">
        <v>6</v>
      </c>
      <c r="D14" s="77">
        <v>1</v>
      </c>
      <c r="E14" s="78">
        <v>0</v>
      </c>
      <c r="F14" s="46">
        <f t="shared" si="0"/>
        <v>0</v>
      </c>
    </row>
    <row r="15" spans="1:6" x14ac:dyDescent="0.2">
      <c r="B15" s="71"/>
    </row>
    <row r="16" spans="1:6" x14ac:dyDescent="0.2">
      <c r="B16" s="71" t="s">
        <v>56</v>
      </c>
      <c r="F16" s="44">
        <f>SUM(F8:F14)</f>
        <v>0</v>
      </c>
    </row>
    <row r="18" spans="1:6" x14ac:dyDescent="0.2">
      <c r="A18" s="43" t="s">
        <v>1</v>
      </c>
      <c r="B18" s="71" t="s">
        <v>16</v>
      </c>
    </row>
    <row r="20" spans="1:6" ht="38.25" x14ac:dyDescent="0.2">
      <c r="A20" s="45">
        <v>1</v>
      </c>
      <c r="B20" s="75" t="s">
        <v>17</v>
      </c>
      <c r="C20" s="64" t="s">
        <v>36</v>
      </c>
      <c r="D20" s="62">
        <f>'baza-meteorna kolicine'!J31</f>
        <v>41.731146832358803</v>
      </c>
      <c r="E20" s="63">
        <v>0</v>
      </c>
      <c r="F20" s="40">
        <f>E20*D20</f>
        <v>0</v>
      </c>
    </row>
    <row r="21" spans="1:6" ht="12.75" customHeight="1" x14ac:dyDescent="0.2">
      <c r="A21" s="45"/>
      <c r="B21" s="75"/>
    </row>
    <row r="22" spans="1:6" ht="25.5" x14ac:dyDescent="0.2">
      <c r="A22" s="45">
        <v>2</v>
      </c>
      <c r="B22" s="75" t="s">
        <v>59</v>
      </c>
      <c r="C22" s="64" t="s">
        <v>36</v>
      </c>
      <c r="D22" s="62">
        <f>D20</f>
        <v>41.731146832358803</v>
      </c>
      <c r="E22" s="63">
        <v>0</v>
      </c>
      <c r="F22" s="40">
        <f>E22*D22</f>
        <v>0</v>
      </c>
    </row>
    <row r="23" spans="1:6" ht="12" customHeight="1" x14ac:dyDescent="0.2">
      <c r="A23" s="45"/>
      <c r="B23" s="75"/>
    </row>
    <row r="24" spans="1:6" ht="42.6" customHeight="1" x14ac:dyDescent="0.2">
      <c r="A24" s="45">
        <v>3</v>
      </c>
      <c r="B24" s="75" t="s">
        <v>99</v>
      </c>
      <c r="C24" s="64" t="s">
        <v>37</v>
      </c>
      <c r="D24" s="62">
        <f>'baza-meteorna kolicine'!L37</f>
        <v>20.412656598835298</v>
      </c>
      <c r="E24" s="63">
        <v>0</v>
      </c>
      <c r="F24" s="40">
        <f>E24*D24</f>
        <v>0</v>
      </c>
    </row>
    <row r="25" spans="1:6" x14ac:dyDescent="0.2">
      <c r="A25" s="45"/>
      <c r="B25" s="75"/>
    </row>
    <row r="26" spans="1:6" ht="56.45" customHeight="1" x14ac:dyDescent="0.2">
      <c r="A26" s="45">
        <v>4</v>
      </c>
      <c r="B26" s="75" t="s">
        <v>98</v>
      </c>
      <c r="C26" s="64" t="s">
        <v>37</v>
      </c>
      <c r="D26" s="62">
        <f>'baza-meteorna kolicine'!L38</f>
        <v>47.629532063949028</v>
      </c>
      <c r="E26" s="63">
        <v>0</v>
      </c>
      <c r="F26" s="40">
        <f>E26*D26</f>
        <v>0</v>
      </c>
    </row>
    <row r="27" spans="1:6" x14ac:dyDescent="0.2">
      <c r="A27" s="45"/>
      <c r="B27" s="75"/>
    </row>
    <row r="28" spans="1:6" ht="51" x14ac:dyDescent="0.2">
      <c r="A28" s="45">
        <v>5</v>
      </c>
      <c r="B28" s="75" t="s">
        <v>97</v>
      </c>
      <c r="C28" s="64" t="s">
        <v>37</v>
      </c>
      <c r="D28" s="62">
        <f>'baza-meteorna kolicine'!L35</f>
        <v>29.160937998336141</v>
      </c>
      <c r="E28" s="63">
        <v>0</v>
      </c>
      <c r="F28" s="40">
        <f>E28*D28</f>
        <v>0</v>
      </c>
    </row>
    <row r="29" spans="1:6" x14ac:dyDescent="0.2">
      <c r="A29" s="45"/>
      <c r="B29" s="75"/>
    </row>
    <row r="30" spans="1:6" ht="27" customHeight="1" x14ac:dyDescent="0.2">
      <c r="A30" s="45">
        <v>6</v>
      </c>
      <c r="B30" s="79" t="s">
        <v>18</v>
      </c>
      <c r="C30" s="64" t="s">
        <v>36</v>
      </c>
      <c r="D30" s="62">
        <f>'baza-meteorna kolicine'!M31</f>
        <v>71.108999999999995</v>
      </c>
      <c r="E30" s="63">
        <v>0</v>
      </c>
      <c r="F30" s="40">
        <f>E30*D30</f>
        <v>0</v>
      </c>
    </row>
    <row r="31" spans="1:6" ht="15.75" customHeight="1" x14ac:dyDescent="0.2">
      <c r="A31" s="45"/>
      <c r="B31" s="79"/>
    </row>
    <row r="32" spans="1:6" ht="132.6" customHeight="1" x14ac:dyDescent="0.2">
      <c r="A32" s="45">
        <v>7</v>
      </c>
      <c r="B32" s="65" t="s">
        <v>75</v>
      </c>
      <c r="C32" s="64" t="s">
        <v>37</v>
      </c>
      <c r="D32" s="62">
        <f>'baza-meteorna kolicine'!L37</f>
        <v>20.412656598835298</v>
      </c>
      <c r="E32" s="63">
        <v>0</v>
      </c>
      <c r="F32" s="40">
        <f>E32*D32</f>
        <v>0</v>
      </c>
    </row>
    <row r="33" spans="1:6" ht="14.25" customHeight="1" x14ac:dyDescent="0.2">
      <c r="A33" s="45"/>
    </row>
    <row r="34" spans="1:6" ht="53.25" customHeight="1" x14ac:dyDescent="0.2">
      <c r="A34" s="45">
        <v>8</v>
      </c>
      <c r="B34" s="65" t="s">
        <v>57</v>
      </c>
      <c r="C34" s="64" t="s">
        <v>37</v>
      </c>
      <c r="D34" s="62">
        <f>'baza-meteorna kolicine'!F38+'baza-meteorna kolicine'!F41</f>
        <v>37.785062449666746</v>
      </c>
      <c r="E34" s="63">
        <v>0</v>
      </c>
      <c r="F34" s="40">
        <f>E34*D34</f>
        <v>0</v>
      </c>
    </row>
    <row r="35" spans="1:6" ht="14.25" customHeight="1" x14ac:dyDescent="0.2">
      <c r="A35" s="45"/>
    </row>
    <row r="36" spans="1:6" ht="27.6" customHeight="1" x14ac:dyDescent="0.2">
      <c r="A36" s="45">
        <v>9</v>
      </c>
      <c r="B36" s="65" t="s">
        <v>86</v>
      </c>
      <c r="C36" s="64" t="s">
        <v>37</v>
      </c>
      <c r="D36" s="62">
        <v>9</v>
      </c>
      <c r="E36" s="63">
        <v>0</v>
      </c>
      <c r="F36" s="40">
        <f>E36*D36</f>
        <v>0</v>
      </c>
    </row>
    <row r="37" spans="1:6" ht="12" customHeight="1" x14ac:dyDescent="0.2"/>
    <row r="38" spans="1:6" ht="44.25" customHeight="1" x14ac:dyDescent="0.2">
      <c r="A38" s="45">
        <v>10</v>
      </c>
      <c r="B38" s="65" t="s">
        <v>52</v>
      </c>
      <c r="C38" s="64" t="s">
        <v>6</v>
      </c>
      <c r="D38" s="62">
        <v>1</v>
      </c>
      <c r="E38" s="63">
        <v>0</v>
      </c>
      <c r="F38" s="40">
        <f t="shared" ref="F37:F40" si="1">E38*D38</f>
        <v>0</v>
      </c>
    </row>
    <row r="39" spans="1:6" ht="14.25" customHeight="1" x14ac:dyDescent="0.2">
      <c r="A39" s="45"/>
    </row>
    <row r="40" spans="1:6" ht="13.5" thickBot="1" x14ac:dyDescent="0.25">
      <c r="A40" s="45">
        <v>11</v>
      </c>
      <c r="B40" s="65" t="s">
        <v>74</v>
      </c>
      <c r="C40" s="76" t="s">
        <v>6</v>
      </c>
      <c r="D40" s="77">
        <v>1</v>
      </c>
      <c r="E40" s="78">
        <v>0</v>
      </c>
      <c r="F40" s="46">
        <f t="shared" si="1"/>
        <v>0</v>
      </c>
    </row>
    <row r="42" spans="1:6" ht="15" x14ac:dyDescent="0.25">
      <c r="A42" s="43"/>
      <c r="B42" s="80" t="s">
        <v>19</v>
      </c>
      <c r="F42" s="44">
        <f>SUM(F20:F40)</f>
        <v>0</v>
      </c>
    </row>
    <row r="43" spans="1:6" x14ac:dyDescent="0.2">
      <c r="A43" s="43"/>
      <c r="B43" s="71"/>
    </row>
    <row r="44" spans="1:6" ht="15" x14ac:dyDescent="0.25">
      <c r="A44" s="43" t="s">
        <v>2</v>
      </c>
      <c r="B44" s="80" t="s">
        <v>20</v>
      </c>
    </row>
    <row r="46" spans="1:6" s="64" customFormat="1" ht="76.5" x14ac:dyDescent="0.2">
      <c r="A46" s="112">
        <v>1</v>
      </c>
      <c r="B46" s="65" t="s">
        <v>100</v>
      </c>
      <c r="D46" s="62"/>
      <c r="E46" s="63"/>
      <c r="F46" s="113"/>
    </row>
    <row r="47" spans="1:6" x14ac:dyDescent="0.2">
      <c r="A47" s="45"/>
      <c r="B47" s="64" t="s">
        <v>101</v>
      </c>
      <c r="D47" s="62">
        <v>15.01</v>
      </c>
      <c r="E47" s="63">
        <v>0</v>
      </c>
      <c r="F47" s="40">
        <f>E47*D47</f>
        <v>0</v>
      </c>
    </row>
    <row r="48" spans="1:6" x14ac:dyDescent="0.2">
      <c r="A48" s="45"/>
      <c r="B48" s="64" t="s">
        <v>102</v>
      </c>
      <c r="D48" s="62">
        <v>63.86</v>
      </c>
      <c r="E48" s="63">
        <v>0</v>
      </c>
      <c r="F48" s="40">
        <f>E48*D48</f>
        <v>0</v>
      </c>
    </row>
    <row r="49" spans="1:6" x14ac:dyDescent="0.2">
      <c r="A49" s="45"/>
      <c r="B49" s="64" t="s">
        <v>104</v>
      </c>
      <c r="D49" s="62">
        <v>10.58</v>
      </c>
      <c r="E49" s="63">
        <v>0</v>
      </c>
      <c r="F49" s="40">
        <f>E49*D49</f>
        <v>0</v>
      </c>
    </row>
    <row r="50" spans="1:6" ht="14.25" x14ac:dyDescent="0.2">
      <c r="A50" s="45"/>
      <c r="B50" s="81"/>
    </row>
    <row r="51" spans="1:6" ht="53.45" customHeight="1" x14ac:dyDescent="0.2">
      <c r="A51" s="56">
        <v>2</v>
      </c>
      <c r="B51" s="65" t="s">
        <v>105</v>
      </c>
      <c r="C51" s="83" t="s">
        <v>5</v>
      </c>
      <c r="D51" s="84">
        <v>1</v>
      </c>
      <c r="E51" s="63">
        <v>0</v>
      </c>
      <c r="F51" s="57">
        <f>E51*D51</f>
        <v>0</v>
      </c>
    </row>
    <row r="52" spans="1:6" ht="12.75" customHeight="1" x14ac:dyDescent="0.2">
      <c r="A52" s="56"/>
      <c r="B52" s="82"/>
      <c r="C52" s="83"/>
      <c r="D52" s="84"/>
      <c r="F52" s="57"/>
    </row>
    <row r="53" spans="1:6" ht="53.45" customHeight="1" x14ac:dyDescent="0.2">
      <c r="A53" s="56">
        <v>3</v>
      </c>
      <c r="B53" s="65" t="s">
        <v>106</v>
      </c>
      <c r="C53" s="83" t="s">
        <v>5</v>
      </c>
      <c r="D53" s="84">
        <v>3</v>
      </c>
      <c r="E53" s="63">
        <v>0</v>
      </c>
      <c r="F53" s="57">
        <f>E53*D53</f>
        <v>0</v>
      </c>
    </row>
    <row r="54" spans="1:6" ht="12.75" customHeight="1" x14ac:dyDescent="0.2">
      <c r="A54" s="56"/>
      <c r="B54" s="82"/>
      <c r="C54" s="83"/>
      <c r="D54" s="84"/>
      <c r="F54" s="57"/>
    </row>
    <row r="55" spans="1:6" ht="63.75" x14ac:dyDescent="0.2">
      <c r="A55" s="56">
        <v>4</v>
      </c>
      <c r="B55" s="65" t="s">
        <v>107</v>
      </c>
      <c r="C55" s="83" t="s">
        <v>5</v>
      </c>
      <c r="D55" s="84">
        <v>2</v>
      </c>
      <c r="E55" s="63">
        <v>0</v>
      </c>
      <c r="F55" s="57">
        <f>E55*D55</f>
        <v>0</v>
      </c>
    </row>
    <row r="56" spans="1:6" ht="14.25" customHeight="1" x14ac:dyDescent="0.2">
      <c r="A56" s="45"/>
      <c r="B56" s="82"/>
    </row>
    <row r="57" spans="1:6" ht="28.15" customHeight="1" x14ac:dyDescent="0.2">
      <c r="A57" s="112">
        <v>5</v>
      </c>
      <c r="B57" s="82" t="s">
        <v>87</v>
      </c>
      <c r="C57" s="64" t="s">
        <v>5</v>
      </c>
      <c r="D57" s="62">
        <v>6</v>
      </c>
      <c r="E57" s="63">
        <v>0</v>
      </c>
      <c r="F57" s="113">
        <f>E57*D57</f>
        <v>0</v>
      </c>
    </row>
    <row r="58" spans="1:6" x14ac:dyDescent="0.2">
      <c r="A58" s="112"/>
      <c r="B58" s="82"/>
      <c r="F58" s="113"/>
    </row>
    <row r="59" spans="1:6" ht="38.25" x14ac:dyDescent="0.2">
      <c r="A59" s="112">
        <v>6</v>
      </c>
      <c r="B59" s="82" t="s">
        <v>170</v>
      </c>
      <c r="C59" s="64" t="s">
        <v>37</v>
      </c>
      <c r="D59" s="62">
        <v>2.9</v>
      </c>
      <c r="E59" s="63">
        <v>0</v>
      </c>
      <c r="F59" s="113">
        <f>E59*D59</f>
        <v>0</v>
      </c>
    </row>
    <row r="60" spans="1:6" x14ac:dyDescent="0.2">
      <c r="A60" s="45"/>
    </row>
    <row r="61" spans="1:6" ht="26.25" thickBot="1" x14ac:dyDescent="0.25">
      <c r="A61" s="45">
        <v>7</v>
      </c>
      <c r="B61" s="86" t="s">
        <v>103</v>
      </c>
      <c r="C61" s="76" t="s">
        <v>5</v>
      </c>
      <c r="D61" s="77">
        <v>5</v>
      </c>
      <c r="E61" s="78">
        <v>0</v>
      </c>
      <c r="F61" s="46">
        <f>+D61*E61</f>
        <v>0</v>
      </c>
    </row>
    <row r="63" spans="1:6" ht="15" x14ac:dyDescent="0.25">
      <c r="B63" s="85" t="s">
        <v>21</v>
      </c>
      <c r="F63" s="44">
        <f>SUM(F45:F62)</f>
        <v>0</v>
      </c>
    </row>
    <row r="65" spans="1:6" ht="15" x14ac:dyDescent="0.25">
      <c r="A65" s="43" t="s">
        <v>3</v>
      </c>
      <c r="B65" s="80" t="s">
        <v>22</v>
      </c>
    </row>
    <row r="67" spans="1:6" ht="25.5" x14ac:dyDescent="0.2">
      <c r="A67" s="45">
        <v>1</v>
      </c>
      <c r="B67" s="86" t="s">
        <v>54</v>
      </c>
      <c r="C67" s="64" t="s">
        <v>15</v>
      </c>
      <c r="D67" s="62">
        <f>'baza-meteorna kolicine'!I31</f>
        <v>89.440000000000012</v>
      </c>
      <c r="E67" s="63">
        <v>0</v>
      </c>
      <c r="F67" s="40">
        <f>E67*D67</f>
        <v>0</v>
      </c>
    </row>
    <row r="68" spans="1:6" x14ac:dyDescent="0.2">
      <c r="A68" s="45"/>
      <c r="B68" s="86"/>
    </row>
    <row r="69" spans="1:6" ht="38.25" x14ac:dyDescent="0.2">
      <c r="A69" s="45">
        <v>2</v>
      </c>
      <c r="B69" s="86" t="s">
        <v>23</v>
      </c>
      <c r="C69" s="64" t="s">
        <v>15</v>
      </c>
      <c r="D69" s="62">
        <f>D67</f>
        <v>89.440000000000012</v>
      </c>
      <c r="E69" s="63">
        <v>0</v>
      </c>
      <c r="F69" s="40">
        <f>E69*D69</f>
        <v>0</v>
      </c>
    </row>
    <row r="70" spans="1:6" x14ac:dyDescent="0.2">
      <c r="A70" s="45"/>
      <c r="B70" s="86"/>
    </row>
    <row r="71" spans="1:6" x14ac:dyDescent="0.2">
      <c r="A71" s="45">
        <v>3</v>
      </c>
      <c r="B71" s="83" t="s">
        <v>24</v>
      </c>
      <c r="C71" s="64" t="s">
        <v>6</v>
      </c>
      <c r="D71" s="62">
        <f>+'baza-meteorna kolicine'!K31</f>
        <v>26.013436173776839</v>
      </c>
      <c r="E71" s="63">
        <v>0</v>
      </c>
      <c r="F71" s="40">
        <f>E71*D71</f>
        <v>0</v>
      </c>
    </row>
    <row r="72" spans="1:6" x14ac:dyDescent="0.2">
      <c r="A72" s="45"/>
      <c r="B72" s="83"/>
    </row>
    <row r="73" spans="1:6" ht="38.25" x14ac:dyDescent="0.2">
      <c r="A73" s="45">
        <v>4</v>
      </c>
      <c r="B73" s="65" t="s">
        <v>73</v>
      </c>
      <c r="C73" s="64" t="s">
        <v>6</v>
      </c>
      <c r="D73" s="62">
        <v>1</v>
      </c>
      <c r="E73" s="63">
        <v>0</v>
      </c>
      <c r="F73" s="40">
        <f t="shared" ref="F72:F75" si="2">E73*D73</f>
        <v>0</v>
      </c>
    </row>
    <row r="74" spans="1:6" x14ac:dyDescent="0.2">
      <c r="A74" s="45"/>
    </row>
    <row r="75" spans="1:6" x14ac:dyDescent="0.2">
      <c r="A75" s="45">
        <v>5</v>
      </c>
      <c r="B75" s="83" t="s">
        <v>25</v>
      </c>
      <c r="C75" s="64" t="s">
        <v>6</v>
      </c>
      <c r="D75" s="62">
        <v>1</v>
      </c>
      <c r="E75" s="63">
        <v>0</v>
      </c>
      <c r="F75" s="40">
        <f t="shared" si="2"/>
        <v>0</v>
      </c>
    </row>
    <row r="76" spans="1:6" x14ac:dyDescent="0.2">
      <c r="A76" s="45"/>
      <c r="B76" s="83"/>
    </row>
    <row r="77" spans="1:6" ht="25.5" x14ac:dyDescent="0.2">
      <c r="A77" s="45">
        <v>6</v>
      </c>
      <c r="B77" s="65" t="s">
        <v>26</v>
      </c>
      <c r="C77" s="64" t="s">
        <v>36</v>
      </c>
      <c r="D77" s="62">
        <f>D69*4</f>
        <v>357.76000000000005</v>
      </c>
      <c r="E77" s="63">
        <v>0</v>
      </c>
      <c r="F77" s="40">
        <f>E77*D77</f>
        <v>0</v>
      </c>
    </row>
    <row r="78" spans="1:6" x14ac:dyDescent="0.2">
      <c r="A78" s="45"/>
    </row>
    <row r="79" spans="1:6" x14ac:dyDescent="0.2">
      <c r="A79" s="45">
        <v>7</v>
      </c>
      <c r="B79" s="83" t="s">
        <v>48</v>
      </c>
      <c r="C79" s="64" t="s">
        <v>6</v>
      </c>
      <c r="D79" s="62">
        <v>1</v>
      </c>
      <c r="E79" s="63">
        <v>0</v>
      </c>
      <c r="F79" s="40">
        <f t="shared" ref="F78:F83" si="3">E79*D79</f>
        <v>0</v>
      </c>
    </row>
    <row r="80" spans="1:6" x14ac:dyDescent="0.2">
      <c r="A80" s="45"/>
      <c r="B80" s="83"/>
    </row>
    <row r="81" spans="1:6" ht="51" x14ac:dyDescent="0.2">
      <c r="A81" s="45">
        <v>8</v>
      </c>
      <c r="B81" s="65" t="s">
        <v>77</v>
      </c>
      <c r="C81" s="64" t="s">
        <v>6</v>
      </c>
      <c r="D81" s="62">
        <v>1</v>
      </c>
      <c r="E81" s="63">
        <v>0</v>
      </c>
      <c r="F81" s="40">
        <f t="shared" si="3"/>
        <v>0</v>
      </c>
    </row>
    <row r="82" spans="1:6" x14ac:dyDescent="0.2">
      <c r="A82" s="45"/>
    </row>
    <row r="83" spans="1:6" ht="13.5" thickBot="1" x14ac:dyDescent="0.25">
      <c r="A83" s="45">
        <v>9</v>
      </c>
      <c r="B83" s="83" t="s">
        <v>55</v>
      </c>
      <c r="C83" s="76" t="s">
        <v>6</v>
      </c>
      <c r="D83" s="77">
        <v>1</v>
      </c>
      <c r="E83" s="78">
        <v>0</v>
      </c>
      <c r="F83" s="46">
        <f t="shared" si="3"/>
        <v>0</v>
      </c>
    </row>
    <row r="84" spans="1:6" ht="15" x14ac:dyDescent="0.25">
      <c r="B84" s="85" t="s">
        <v>27</v>
      </c>
      <c r="F84" s="44">
        <f>SUM(F67:F83)</f>
        <v>0</v>
      </c>
    </row>
    <row r="87" spans="1:6" ht="18" x14ac:dyDescent="0.2">
      <c r="A87" s="42"/>
      <c r="B87" s="66" t="s">
        <v>67</v>
      </c>
    </row>
    <row r="88" spans="1:6" ht="18" x14ac:dyDescent="0.2">
      <c r="A88" s="42"/>
      <c r="B88" s="66"/>
    </row>
    <row r="89" spans="1:6" ht="15" x14ac:dyDescent="0.25">
      <c r="A89" s="36" t="str">
        <f>A4</f>
        <v>I.</v>
      </c>
      <c r="B89" s="67" t="str">
        <f>B4</f>
        <v>PRIPRAVLJALNA DELA</v>
      </c>
      <c r="F89" s="34">
        <f>F16</f>
        <v>0</v>
      </c>
    </row>
    <row r="90" spans="1:6" ht="15" x14ac:dyDescent="0.25">
      <c r="A90" s="36" t="str">
        <f>A18</f>
        <v>II.</v>
      </c>
      <c r="B90" s="67" t="str">
        <f>B18</f>
        <v>ZEMELJSKA DELA</v>
      </c>
      <c r="F90" s="34">
        <f>F42</f>
        <v>0</v>
      </c>
    </row>
    <row r="91" spans="1:6" ht="15" x14ac:dyDescent="0.25">
      <c r="A91" s="36" t="str">
        <f>A44</f>
        <v>III.</v>
      </c>
      <c r="B91" s="67" t="str">
        <f>B44</f>
        <v>GRADBENA DELA</v>
      </c>
      <c r="F91" s="34">
        <f>F63</f>
        <v>0</v>
      </c>
    </row>
    <row r="92" spans="1:6" ht="15" x14ac:dyDescent="0.25">
      <c r="A92" s="36" t="str">
        <f>A65</f>
        <v>IV.</v>
      </c>
      <c r="B92" s="67" t="str">
        <f>B65</f>
        <v>ZAKLJUČNA DELA</v>
      </c>
      <c r="C92" s="68"/>
      <c r="D92" s="69"/>
      <c r="E92" s="70"/>
      <c r="F92" s="35">
        <f>F84</f>
        <v>0</v>
      </c>
    </row>
    <row r="93" spans="1:6" ht="18" x14ac:dyDescent="0.25">
      <c r="A93" s="42"/>
      <c r="B93" s="66"/>
      <c r="E93" s="63" t="s">
        <v>108</v>
      </c>
      <c r="F93" s="34">
        <f>SUM(F89:F92)</f>
        <v>0</v>
      </c>
    </row>
    <row r="94" spans="1:6" ht="18" x14ac:dyDescent="0.25">
      <c r="A94" s="42"/>
      <c r="B94" s="66"/>
      <c r="C94" s="68"/>
      <c r="D94" s="69"/>
      <c r="E94" s="70" t="s">
        <v>65</v>
      </c>
      <c r="F94" s="35">
        <f>0.22*F93</f>
        <v>0</v>
      </c>
    </row>
    <row r="95" spans="1:6" ht="18" x14ac:dyDescent="0.25">
      <c r="A95" s="42"/>
      <c r="B95" s="66"/>
      <c r="E95" s="63" t="s">
        <v>60</v>
      </c>
      <c r="F95" s="34">
        <f>SUM(F93:F94)</f>
        <v>0</v>
      </c>
    </row>
  </sheetData>
  <mergeCells count="1">
    <mergeCell ref="B2:F2"/>
  </mergeCells>
  <phoneticPr fontId="0" type="noConversion"/>
  <pageMargins left="0.6692913385826772" right="0.31496062992125984" top="0.35433070866141736" bottom="0.39370078740157483" header="0.27559055118110237" footer="0.19685039370078741"/>
  <pageSetup paperSize="9" scale="85" orientation="portrait" r:id="rId1"/>
  <headerFooter alignWithMargins="0">
    <oddFooter>&amp;L1.faza - Meteorni kanal&amp;R&amp;P/&amp;N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4"/>
  <sheetViews>
    <sheetView topLeftCell="A16" workbookViewId="0">
      <selection activeCell="E35" sqref="E35"/>
    </sheetView>
  </sheetViews>
  <sheetFormatPr defaultRowHeight="12.75" x14ac:dyDescent="0.2"/>
  <cols>
    <col min="1" max="1" width="5.42578125" style="143" customWidth="1"/>
    <col min="2" max="2" width="37.5703125" style="143" customWidth="1"/>
    <col min="3" max="3" width="6.5703125" style="134" customWidth="1"/>
    <col min="4" max="4" width="8.140625" style="225" bestFit="1" customWidth="1"/>
    <col min="5" max="5" width="8.140625" style="133" customWidth="1"/>
    <col min="6" max="6" width="12" style="133" customWidth="1"/>
    <col min="7" max="7" width="10.7109375" style="204" bestFit="1" customWidth="1"/>
    <col min="8" max="8" width="9.7109375" style="204" bestFit="1" customWidth="1"/>
    <col min="9" max="9" width="10.85546875" style="204" bestFit="1" customWidth="1"/>
    <col min="10" max="16384" width="9.140625" style="204"/>
  </cols>
  <sheetData>
    <row r="2" spans="1:8" s="202" customFormat="1" ht="16.5" x14ac:dyDescent="0.25">
      <c r="A2" s="197"/>
      <c r="B2" s="290" t="s">
        <v>242</v>
      </c>
      <c r="C2" s="199"/>
      <c r="D2" s="200"/>
      <c r="E2" s="201"/>
      <c r="F2" s="201"/>
    </row>
    <row r="3" spans="1:8" s="202" customFormat="1" ht="22.5" customHeight="1" x14ac:dyDescent="0.25">
      <c r="A3" s="197"/>
      <c r="B3" s="198"/>
      <c r="C3" s="199"/>
      <c r="D3" s="200"/>
      <c r="E3" s="201"/>
      <c r="F3" s="201"/>
    </row>
    <row r="4" spans="1:8" s="202" customFormat="1" ht="11.25" customHeight="1" x14ac:dyDescent="0.25">
      <c r="A4" s="166" t="s">
        <v>165</v>
      </c>
      <c r="B4" s="166" t="s">
        <v>164</v>
      </c>
      <c r="C4" s="165" t="s">
        <v>163</v>
      </c>
      <c r="D4" s="165" t="s">
        <v>162</v>
      </c>
      <c r="E4" s="164" t="s">
        <v>161</v>
      </c>
      <c r="F4" s="164" t="s">
        <v>160</v>
      </c>
    </row>
    <row r="5" spans="1:8" x14ac:dyDescent="0.2">
      <c r="A5" s="156" t="s">
        <v>116</v>
      </c>
      <c r="B5" s="154" t="s">
        <v>14</v>
      </c>
      <c r="C5" s="141"/>
      <c r="D5" s="203"/>
      <c r="E5" s="140"/>
      <c r="F5" s="140"/>
    </row>
    <row r="6" spans="1:8" x14ac:dyDescent="0.2">
      <c r="A6" s="127" t="s">
        <v>116</v>
      </c>
      <c r="B6" s="121" t="s">
        <v>159</v>
      </c>
      <c r="C6" s="120" t="s">
        <v>158</v>
      </c>
      <c r="D6" s="119">
        <v>1</v>
      </c>
      <c r="E6" s="155">
        <v>0</v>
      </c>
      <c r="F6" s="155">
        <f>D6*E6</f>
        <v>0</v>
      </c>
    </row>
    <row r="7" spans="1:8" ht="14.25" customHeight="1" x14ac:dyDescent="0.2">
      <c r="A7" s="117" t="s">
        <v>115</v>
      </c>
      <c r="B7" s="205" t="s">
        <v>157</v>
      </c>
      <c r="C7" s="206" t="s">
        <v>131</v>
      </c>
      <c r="D7" s="207">
        <v>166</v>
      </c>
      <c r="E7" s="114">
        <v>0</v>
      </c>
      <c r="F7" s="114">
        <f>D7*E7</f>
        <v>0</v>
      </c>
    </row>
    <row r="8" spans="1:8" x14ac:dyDescent="0.2">
      <c r="A8" s="208" t="s">
        <v>116</v>
      </c>
      <c r="B8" s="154" t="s">
        <v>156</v>
      </c>
      <c r="C8" s="209"/>
      <c r="D8" s="209"/>
      <c r="E8" s="210"/>
      <c r="F8" s="210">
        <f>SUM(F6:F7)</f>
        <v>0</v>
      </c>
    </row>
    <row r="9" spans="1:8" x14ac:dyDescent="0.2">
      <c r="A9" s="156"/>
      <c r="B9" s="154" t="s">
        <v>119</v>
      </c>
      <c r="C9" s="141"/>
      <c r="D9" s="141"/>
      <c r="E9" s="140"/>
      <c r="F9" s="140">
        <f>F8*0.22</f>
        <v>0</v>
      </c>
    </row>
    <row r="10" spans="1:8" s="211" customFormat="1" ht="12.75" customHeight="1" x14ac:dyDescent="0.2">
      <c r="A10" s="156"/>
      <c r="B10" s="154" t="s">
        <v>118</v>
      </c>
      <c r="C10" s="141"/>
      <c r="D10" s="141"/>
      <c r="E10" s="140"/>
      <c r="F10" s="140">
        <f>F8*1.22</f>
        <v>0</v>
      </c>
    </row>
    <row r="11" spans="1:8" s="211" customFormat="1" ht="15.75" customHeight="1" x14ac:dyDescent="0.2">
      <c r="A11" s="212"/>
      <c r="B11" s="213"/>
      <c r="C11" s="120"/>
      <c r="D11" s="119"/>
      <c r="E11" s="155"/>
      <c r="F11" s="155"/>
    </row>
    <row r="12" spans="1:8" x14ac:dyDescent="0.2">
      <c r="A12" s="156" t="s">
        <v>115</v>
      </c>
      <c r="B12" s="142" t="s">
        <v>114</v>
      </c>
      <c r="C12" s="120"/>
      <c r="D12" s="119"/>
      <c r="E12" s="155"/>
      <c r="F12" s="155"/>
      <c r="G12" s="214"/>
    </row>
    <row r="13" spans="1:8" x14ac:dyDescent="0.2">
      <c r="A13" s="163" t="s">
        <v>155</v>
      </c>
      <c r="B13" s="142" t="s">
        <v>154</v>
      </c>
      <c r="C13" s="158"/>
      <c r="D13" s="131"/>
      <c r="E13" s="118"/>
      <c r="F13" s="118"/>
      <c r="H13" s="215"/>
    </row>
    <row r="14" spans="1:8" ht="25.5" x14ac:dyDescent="0.2">
      <c r="A14" s="127" t="s">
        <v>116</v>
      </c>
      <c r="B14" s="162" t="s">
        <v>144</v>
      </c>
      <c r="C14" s="158" t="s">
        <v>37</v>
      </c>
      <c r="D14" s="131">
        <v>265</v>
      </c>
      <c r="E14" s="118">
        <v>0</v>
      </c>
      <c r="F14" s="118">
        <f t="shared" ref="F14:F24" si="0">D14*E14</f>
        <v>0</v>
      </c>
      <c r="H14" s="215"/>
    </row>
    <row r="15" spans="1:8" ht="25.5" x14ac:dyDescent="0.2">
      <c r="A15" s="127" t="s">
        <v>115</v>
      </c>
      <c r="B15" s="161" t="s">
        <v>143</v>
      </c>
      <c r="C15" s="160" t="s">
        <v>36</v>
      </c>
      <c r="D15" s="159">
        <v>133</v>
      </c>
      <c r="E15" s="118">
        <v>0</v>
      </c>
      <c r="F15" s="216">
        <f t="shared" si="0"/>
        <v>0</v>
      </c>
      <c r="H15" s="215"/>
    </row>
    <row r="16" spans="1:8" ht="25.5" x14ac:dyDescent="0.2">
      <c r="A16" s="127" t="s">
        <v>113</v>
      </c>
      <c r="B16" s="121" t="s">
        <v>153</v>
      </c>
      <c r="C16" s="158" t="s">
        <v>131</v>
      </c>
      <c r="D16" s="131">
        <v>106</v>
      </c>
      <c r="E16" s="270">
        <v>0</v>
      </c>
      <c r="F16" s="118">
        <f t="shared" si="0"/>
        <v>0</v>
      </c>
    </row>
    <row r="17" spans="1:7" ht="25.5" x14ac:dyDescent="0.2">
      <c r="A17" s="127" t="s">
        <v>141</v>
      </c>
      <c r="B17" s="121" t="s">
        <v>140</v>
      </c>
      <c r="C17" s="158" t="s">
        <v>131</v>
      </c>
      <c r="D17" s="131">
        <v>20</v>
      </c>
      <c r="E17" s="270">
        <v>0</v>
      </c>
      <c r="F17" s="118">
        <f t="shared" si="0"/>
        <v>0</v>
      </c>
    </row>
    <row r="18" spans="1:7" ht="25.5" x14ac:dyDescent="0.2">
      <c r="A18" s="127" t="s">
        <v>139</v>
      </c>
      <c r="B18" s="121" t="s">
        <v>152</v>
      </c>
      <c r="C18" s="158" t="s">
        <v>131</v>
      </c>
      <c r="D18" s="131">
        <v>40</v>
      </c>
      <c r="E18" s="270">
        <v>0</v>
      </c>
      <c r="F18" s="118">
        <f t="shared" si="0"/>
        <v>0</v>
      </c>
    </row>
    <row r="19" spans="1:7" x14ac:dyDescent="0.2">
      <c r="A19" s="127" t="s">
        <v>137</v>
      </c>
      <c r="B19" s="132" t="s">
        <v>138</v>
      </c>
      <c r="C19" s="129" t="s">
        <v>36</v>
      </c>
      <c r="D19" s="131">
        <v>530</v>
      </c>
      <c r="E19" s="128">
        <v>0</v>
      </c>
      <c r="F19" s="128">
        <f t="shared" si="0"/>
        <v>0</v>
      </c>
    </row>
    <row r="20" spans="1:7" ht="27" customHeight="1" x14ac:dyDescent="0.2">
      <c r="A20" s="127" t="s">
        <v>135</v>
      </c>
      <c r="B20" s="126" t="s">
        <v>136</v>
      </c>
      <c r="C20" s="125" t="s">
        <v>37</v>
      </c>
      <c r="D20" s="124">
        <v>80</v>
      </c>
      <c r="E20" s="123">
        <v>0</v>
      </c>
      <c r="F20" s="122">
        <f t="shared" si="0"/>
        <v>0</v>
      </c>
    </row>
    <row r="21" spans="1:7" ht="13.5" customHeight="1" x14ac:dyDescent="0.2">
      <c r="A21" s="127" t="s">
        <v>133</v>
      </c>
      <c r="B21" s="126" t="s">
        <v>134</v>
      </c>
      <c r="C21" s="125" t="s">
        <v>37</v>
      </c>
      <c r="D21" s="124">
        <v>180</v>
      </c>
      <c r="E21" s="123">
        <v>0</v>
      </c>
      <c r="F21" s="122">
        <f t="shared" si="0"/>
        <v>0</v>
      </c>
    </row>
    <row r="22" spans="1:7" ht="26.25" customHeight="1" x14ac:dyDescent="0.2">
      <c r="A22" s="127" t="s">
        <v>151</v>
      </c>
      <c r="B22" s="126" t="s">
        <v>150</v>
      </c>
      <c r="C22" s="125" t="s">
        <v>131</v>
      </c>
      <c r="D22" s="124">
        <v>2</v>
      </c>
      <c r="E22" s="123">
        <v>0</v>
      </c>
      <c r="F22" s="122">
        <f t="shared" si="0"/>
        <v>0</v>
      </c>
    </row>
    <row r="23" spans="1:7" ht="26.25" customHeight="1" x14ac:dyDescent="0.2">
      <c r="A23" s="127" t="s">
        <v>149</v>
      </c>
      <c r="B23" s="126" t="s">
        <v>148</v>
      </c>
      <c r="C23" s="125" t="s">
        <v>131</v>
      </c>
      <c r="D23" s="124">
        <v>2.5</v>
      </c>
      <c r="E23" s="123">
        <v>0</v>
      </c>
      <c r="F23" s="122">
        <f t="shared" si="0"/>
        <v>0</v>
      </c>
    </row>
    <row r="24" spans="1:7" x14ac:dyDescent="0.2">
      <c r="A24" s="217" t="s">
        <v>147</v>
      </c>
      <c r="B24" s="121" t="s">
        <v>129</v>
      </c>
      <c r="C24" s="120" t="s">
        <v>36</v>
      </c>
      <c r="D24" s="119">
        <v>2500</v>
      </c>
      <c r="E24" s="122">
        <v>0</v>
      </c>
      <c r="F24" s="118">
        <f t="shared" si="0"/>
        <v>0</v>
      </c>
      <c r="G24" s="215">
        <f>SUM(F14:F24)</f>
        <v>0</v>
      </c>
    </row>
    <row r="25" spans="1:7" ht="13.5" customHeight="1" x14ac:dyDescent="0.2">
      <c r="A25" s="117" t="s">
        <v>130</v>
      </c>
      <c r="B25" s="116" t="s">
        <v>127</v>
      </c>
      <c r="C25" s="115"/>
      <c r="D25" s="115"/>
      <c r="E25" s="271"/>
      <c r="F25" s="114">
        <f>G24*0.1</f>
        <v>0</v>
      </c>
    </row>
    <row r="26" spans="1:7" x14ac:dyDescent="0.2">
      <c r="A26" s="157" t="s">
        <v>115</v>
      </c>
      <c r="B26" s="295" t="s">
        <v>126</v>
      </c>
      <c r="C26" s="295"/>
      <c r="D26" s="141"/>
      <c r="E26" s="140"/>
      <c r="F26" s="140">
        <f>SUM(F13:F25)</f>
        <v>0</v>
      </c>
    </row>
    <row r="27" spans="1:7" x14ac:dyDescent="0.2">
      <c r="B27" s="154" t="s">
        <v>119</v>
      </c>
      <c r="C27" s="141"/>
      <c r="D27" s="141"/>
      <c r="E27" s="140"/>
      <c r="F27" s="140">
        <f>F26*0.22</f>
        <v>0</v>
      </c>
    </row>
    <row r="28" spans="1:7" x14ac:dyDescent="0.2">
      <c r="B28" s="154" t="s">
        <v>125</v>
      </c>
      <c r="C28" s="141"/>
      <c r="D28" s="141"/>
      <c r="E28" s="140"/>
      <c r="F28" s="140">
        <f>F26*1.22</f>
        <v>0</v>
      </c>
    </row>
    <row r="29" spans="1:7" x14ac:dyDescent="0.2">
      <c r="B29" s="154"/>
      <c r="C29" s="141"/>
      <c r="D29" s="141"/>
      <c r="E29" s="140"/>
      <c r="F29" s="140"/>
    </row>
    <row r="30" spans="1:7" x14ac:dyDescent="0.2">
      <c r="A30" s="156" t="s">
        <v>113</v>
      </c>
      <c r="B30" s="154" t="s">
        <v>112</v>
      </c>
      <c r="C30" s="141"/>
      <c r="D30" s="203"/>
      <c r="E30" s="140"/>
      <c r="F30" s="140"/>
    </row>
    <row r="31" spans="1:7" s="218" customFormat="1" ht="14.25" customHeight="1" x14ac:dyDescent="0.2">
      <c r="A31" s="127" t="s">
        <v>116</v>
      </c>
      <c r="B31" s="121" t="s">
        <v>124</v>
      </c>
      <c r="C31" s="120" t="s">
        <v>36</v>
      </c>
      <c r="D31" s="119">
        <v>3000</v>
      </c>
      <c r="E31" s="155">
        <v>0</v>
      </c>
      <c r="F31" s="155">
        <f>D31*E31</f>
        <v>0</v>
      </c>
    </row>
    <row r="32" spans="1:7" s="218" customFormat="1" ht="14.25" customHeight="1" x14ac:dyDescent="0.2">
      <c r="A32" s="127" t="s">
        <v>115</v>
      </c>
      <c r="B32" s="162" t="s">
        <v>123</v>
      </c>
      <c r="C32" s="158" t="s">
        <v>121</v>
      </c>
      <c r="D32" s="131">
        <v>1</v>
      </c>
      <c r="E32" s="118">
        <v>0</v>
      </c>
      <c r="F32" s="118">
        <f>D32*E32</f>
        <v>0</v>
      </c>
    </row>
    <row r="33" spans="1:6" ht="15.75" customHeight="1" x14ac:dyDescent="0.2">
      <c r="A33" s="117" t="s">
        <v>113</v>
      </c>
      <c r="B33" s="219" t="s">
        <v>122</v>
      </c>
      <c r="C33" s="206" t="s">
        <v>121</v>
      </c>
      <c r="D33" s="207">
        <v>1</v>
      </c>
      <c r="E33" s="114">
        <v>0</v>
      </c>
      <c r="F33" s="114">
        <f>D33*E33</f>
        <v>0</v>
      </c>
    </row>
    <row r="34" spans="1:6" ht="15" customHeight="1" x14ac:dyDescent="0.2">
      <c r="A34" s="208" t="s">
        <v>116</v>
      </c>
      <c r="B34" s="154" t="s">
        <v>120</v>
      </c>
      <c r="C34" s="209"/>
      <c r="D34" s="209"/>
      <c r="E34" s="210"/>
      <c r="F34" s="210">
        <f>SUM(F31:F33)</f>
        <v>0</v>
      </c>
    </row>
    <row r="35" spans="1:6" x14ac:dyDescent="0.2">
      <c r="A35" s="156"/>
      <c r="B35" s="154" t="s">
        <v>119</v>
      </c>
      <c r="C35" s="141"/>
      <c r="D35" s="141"/>
      <c r="E35" s="140"/>
      <c r="F35" s="140">
        <f>F34*0.22</f>
        <v>0</v>
      </c>
    </row>
    <row r="36" spans="1:6" x14ac:dyDescent="0.2">
      <c r="A36" s="156"/>
      <c r="B36" s="154" t="s">
        <v>118</v>
      </c>
      <c r="C36" s="141"/>
      <c r="D36" s="141"/>
      <c r="E36" s="140"/>
      <c r="F36" s="140">
        <f>F34*1.22</f>
        <v>0</v>
      </c>
    </row>
    <row r="37" spans="1:6" x14ac:dyDescent="0.2">
      <c r="A37" s="127"/>
      <c r="B37" s="121"/>
      <c r="C37" s="120"/>
      <c r="D37" s="119"/>
      <c r="E37" s="118"/>
      <c r="F37" s="118"/>
    </row>
    <row r="38" spans="1:6" ht="15.75" x14ac:dyDescent="0.2">
      <c r="A38" s="296" t="s">
        <v>117</v>
      </c>
      <c r="B38" s="296"/>
      <c r="C38" s="296"/>
      <c r="D38" s="296"/>
      <c r="E38" s="296"/>
      <c r="F38" s="296"/>
    </row>
    <row r="39" spans="1:6" ht="14.25" x14ac:dyDescent="0.2">
      <c r="A39" s="220" t="s">
        <v>116</v>
      </c>
      <c r="B39" s="145" t="s">
        <v>14</v>
      </c>
      <c r="C39" s="153"/>
      <c r="D39" s="152"/>
      <c r="E39" s="214"/>
      <c r="F39" s="151">
        <f>F8</f>
        <v>0</v>
      </c>
    </row>
    <row r="40" spans="1:6" ht="14.25" x14ac:dyDescent="0.2">
      <c r="A40" s="220" t="s">
        <v>115</v>
      </c>
      <c r="B40" s="145" t="s">
        <v>114</v>
      </c>
      <c r="C40" s="153"/>
      <c r="D40" s="152"/>
      <c r="E40" s="214"/>
      <c r="F40" s="151">
        <f>F26</f>
        <v>0</v>
      </c>
    </row>
    <row r="41" spans="1:6" ht="14.25" x14ac:dyDescent="0.2">
      <c r="A41" s="221" t="s">
        <v>113</v>
      </c>
      <c r="B41" s="150" t="s">
        <v>112</v>
      </c>
      <c r="C41" s="149"/>
      <c r="D41" s="148"/>
      <c r="E41" s="222"/>
      <c r="F41" s="147">
        <f>F34</f>
        <v>0</v>
      </c>
    </row>
    <row r="42" spans="1:6" ht="15" x14ac:dyDescent="0.2">
      <c r="A42" s="139"/>
      <c r="B42" s="138" t="s">
        <v>111</v>
      </c>
      <c r="C42" s="137"/>
      <c r="D42" s="137"/>
      <c r="E42" s="146"/>
      <c r="F42" s="223">
        <f>SUM(F39:F41)</f>
        <v>0</v>
      </c>
    </row>
    <row r="43" spans="1:6" ht="15" x14ac:dyDescent="0.2">
      <c r="A43" s="139"/>
      <c r="B43" s="138" t="s">
        <v>110</v>
      </c>
      <c r="C43" s="137"/>
      <c r="D43" s="137"/>
      <c r="E43" s="146"/>
      <c r="F43" s="223">
        <f>F42*0.22</f>
        <v>0</v>
      </c>
    </row>
    <row r="44" spans="1:6" ht="15" x14ac:dyDescent="0.2">
      <c r="B44" s="145" t="s">
        <v>109</v>
      </c>
      <c r="C44" s="137"/>
      <c r="D44" s="137"/>
      <c r="E44" s="146"/>
      <c r="F44" s="223">
        <f>F43+F42</f>
        <v>0</v>
      </c>
    </row>
    <row r="45" spans="1:6" x14ac:dyDescent="0.2">
      <c r="A45" s="144"/>
      <c r="B45" s="135"/>
      <c r="D45" s="134"/>
    </row>
    <row r="46" spans="1:6" x14ac:dyDescent="0.2">
      <c r="B46" s="142"/>
      <c r="C46" s="141"/>
      <c r="D46" s="141"/>
      <c r="E46" s="140"/>
    </row>
    <row r="47" spans="1:6" ht="14.25" x14ac:dyDescent="0.2">
      <c r="A47" s="139"/>
      <c r="B47" s="135"/>
      <c r="D47" s="134"/>
    </row>
    <row r="48" spans="1:6" ht="14.25" x14ac:dyDescent="0.2">
      <c r="A48" s="139"/>
      <c r="B48" s="138"/>
      <c r="C48" s="137"/>
      <c r="D48" s="137"/>
      <c r="E48" s="224"/>
      <c r="F48" s="136"/>
    </row>
    <row r="49" spans="1:6" x14ac:dyDescent="0.2">
      <c r="B49" s="135"/>
      <c r="D49" s="134"/>
    </row>
    <row r="50" spans="1:6" ht="14.25" x14ac:dyDescent="0.2">
      <c r="B50" s="138"/>
      <c r="C50" s="137"/>
      <c r="D50" s="137"/>
      <c r="E50" s="224"/>
      <c r="F50" s="136"/>
    </row>
    <row r="51" spans="1:6" x14ac:dyDescent="0.2">
      <c r="B51" s="135"/>
      <c r="D51" s="134"/>
    </row>
    <row r="53" spans="1:6" x14ac:dyDescent="0.2">
      <c r="A53" s="127"/>
      <c r="B53" s="132"/>
      <c r="C53" s="129"/>
      <c r="D53" s="131"/>
      <c r="E53" s="128"/>
      <c r="F53" s="128"/>
    </row>
    <row r="54" spans="1:6" x14ac:dyDescent="0.2">
      <c r="A54" s="127"/>
      <c r="B54" s="130"/>
      <c r="C54" s="129"/>
      <c r="D54" s="124"/>
      <c r="E54" s="128"/>
      <c r="F54" s="128"/>
    </row>
  </sheetData>
  <mergeCells count="2">
    <mergeCell ref="B26:C26"/>
    <mergeCell ref="A38:F38"/>
  </mergeCells>
  <pageMargins left="0.86614173228346458" right="0.19685039370078741" top="0.31496062992125984" bottom="0.47244094488188981" header="0" footer="0"/>
  <pageSetup paperSize="9" scale="85" orientation="portrait" r:id="rId1"/>
  <headerFooter alignWithMargins="0">
    <oddFooter>&amp;L1.faza - Drenaže&amp;R&amp;P/&amp;N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25" zoomScaleNormal="100" workbookViewId="0">
      <selection activeCell="E42" sqref="E42"/>
    </sheetView>
  </sheetViews>
  <sheetFormatPr defaultRowHeight="12.75" x14ac:dyDescent="0.2"/>
  <cols>
    <col min="1" max="1" width="14.5703125" style="231" customWidth="1"/>
    <col min="2" max="2" width="55.42578125" style="231" customWidth="1"/>
    <col min="3" max="3" width="5.7109375" style="228" customWidth="1"/>
    <col min="4" max="4" width="10.140625" style="231" customWidth="1"/>
    <col min="5" max="5" width="10.42578125" style="230" customWidth="1"/>
    <col min="6" max="6" width="13.140625" style="230" customWidth="1"/>
    <col min="7" max="7" width="12.28515625" style="231" customWidth="1"/>
    <col min="8" max="16384" width="9.140625" style="231"/>
  </cols>
  <sheetData>
    <row r="1" spans="1:6" ht="15.75" x14ac:dyDescent="0.2">
      <c r="A1" s="226"/>
      <c r="B1" s="227"/>
      <c r="D1" s="229"/>
    </row>
    <row r="2" spans="1:6" ht="16.5" x14ac:dyDescent="0.25">
      <c r="A2" s="226"/>
      <c r="B2" s="291" t="s">
        <v>227</v>
      </c>
      <c r="D2" s="229"/>
    </row>
    <row r="3" spans="1:6" x14ac:dyDescent="0.2">
      <c r="A3" s="228"/>
      <c r="D3" s="229"/>
    </row>
    <row r="4" spans="1:6" ht="24" x14ac:dyDescent="0.2">
      <c r="A4" s="232" t="s">
        <v>205</v>
      </c>
      <c r="B4" s="233" t="s">
        <v>204</v>
      </c>
      <c r="C4" s="173" t="s">
        <v>203</v>
      </c>
      <c r="D4" s="172" t="s">
        <v>10</v>
      </c>
      <c r="E4" s="234" t="s">
        <v>202</v>
      </c>
      <c r="F4" s="234" t="s">
        <v>201</v>
      </c>
    </row>
    <row r="5" spans="1:6" x14ac:dyDescent="0.2">
      <c r="A5" s="235"/>
      <c r="B5" s="236"/>
      <c r="C5" s="237"/>
      <c r="D5" s="238"/>
      <c r="E5" s="239"/>
      <c r="F5" s="239"/>
    </row>
    <row r="6" spans="1:6" x14ac:dyDescent="0.2">
      <c r="A6" s="240" t="s">
        <v>200</v>
      </c>
      <c r="B6" s="241" t="s">
        <v>199</v>
      </c>
      <c r="C6" s="242"/>
      <c r="D6" s="243"/>
      <c r="E6" s="244"/>
      <c r="F6" s="244"/>
    </row>
    <row r="7" spans="1:6" x14ac:dyDescent="0.2">
      <c r="A7" s="245"/>
      <c r="B7" s="246"/>
      <c r="C7" s="247"/>
      <c r="D7" s="248"/>
      <c r="E7" s="244"/>
      <c r="F7" s="244"/>
    </row>
    <row r="8" spans="1:6" x14ac:dyDescent="0.2">
      <c r="A8" s="240" t="s">
        <v>198</v>
      </c>
      <c r="B8" s="241" t="s">
        <v>197</v>
      </c>
      <c r="C8" s="242"/>
      <c r="D8" s="243"/>
      <c r="E8" s="244"/>
      <c r="F8" s="244"/>
    </row>
    <row r="9" spans="1:6" x14ac:dyDescent="0.2">
      <c r="A9" s="249"/>
      <c r="B9" s="241" t="s">
        <v>196</v>
      </c>
      <c r="C9" s="242"/>
      <c r="D9" s="243"/>
      <c r="E9" s="244"/>
      <c r="F9" s="244"/>
    </row>
    <row r="10" spans="1:6" ht="36" x14ac:dyDescent="0.2">
      <c r="A10" s="250" t="s">
        <v>116</v>
      </c>
      <c r="B10" s="251" t="s">
        <v>195</v>
      </c>
      <c r="C10" s="252"/>
      <c r="D10" s="253"/>
      <c r="E10" s="244"/>
      <c r="F10" s="244"/>
    </row>
    <row r="11" spans="1:6" x14ac:dyDescent="0.2">
      <c r="A11" s="250" t="s">
        <v>115</v>
      </c>
      <c r="B11" s="251" t="s">
        <v>194</v>
      </c>
      <c r="C11" s="252"/>
      <c r="D11" s="253"/>
      <c r="E11" s="244"/>
      <c r="F11" s="244"/>
    </row>
    <row r="12" spans="1:6" ht="36" x14ac:dyDescent="0.2">
      <c r="A12" s="250" t="s">
        <v>113</v>
      </c>
      <c r="B12" s="251" t="s">
        <v>193</v>
      </c>
      <c r="C12" s="252"/>
      <c r="D12" s="253"/>
      <c r="E12" s="244"/>
      <c r="F12" s="244"/>
    </row>
    <row r="13" spans="1:6" ht="24" x14ac:dyDescent="0.2">
      <c r="A13" s="250" t="s">
        <v>141</v>
      </c>
      <c r="B13" s="251" t="s">
        <v>192</v>
      </c>
      <c r="C13" s="252"/>
      <c r="D13" s="253"/>
      <c r="E13" s="244"/>
      <c r="F13" s="244"/>
    </row>
    <row r="14" spans="1:6" ht="24" x14ac:dyDescent="0.2">
      <c r="A14" s="250" t="s">
        <v>139</v>
      </c>
      <c r="B14" s="251" t="s">
        <v>191</v>
      </c>
      <c r="C14" s="252"/>
      <c r="D14" s="253"/>
      <c r="E14" s="244"/>
      <c r="F14" s="244"/>
    </row>
    <row r="15" spans="1:6" ht="24" x14ac:dyDescent="0.2">
      <c r="A15" s="250" t="s">
        <v>137</v>
      </c>
      <c r="B15" s="251" t="s">
        <v>190</v>
      </c>
      <c r="C15" s="252"/>
      <c r="D15" s="253"/>
      <c r="E15" s="244"/>
      <c r="F15" s="244"/>
    </row>
    <row r="16" spans="1:6" x14ac:dyDescent="0.2">
      <c r="A16" s="250"/>
      <c r="B16" s="251"/>
      <c r="C16" s="252"/>
      <c r="D16" s="253"/>
      <c r="E16" s="244"/>
      <c r="F16" s="244"/>
    </row>
    <row r="17" spans="1:6" x14ac:dyDescent="0.2">
      <c r="A17" s="254" t="s">
        <v>189</v>
      </c>
      <c r="B17" s="255" t="s">
        <v>188</v>
      </c>
      <c r="C17" s="252"/>
      <c r="D17" s="253"/>
      <c r="E17" s="244"/>
      <c r="F17" s="244"/>
    </row>
    <row r="18" spans="1:6" x14ac:dyDescent="0.2">
      <c r="A18" s="254"/>
      <c r="B18" s="251"/>
      <c r="C18" s="254" t="s">
        <v>15</v>
      </c>
      <c r="D18" s="253">
        <f>'baza-mulda kolicine'!C27</f>
        <v>68.13</v>
      </c>
      <c r="E18" s="244">
        <v>0</v>
      </c>
      <c r="F18" s="244">
        <f>+D18*E18</f>
        <v>0</v>
      </c>
    </row>
    <row r="19" spans="1:6" x14ac:dyDescent="0.2">
      <c r="A19" s="254"/>
      <c r="B19" s="251"/>
      <c r="C19" s="254"/>
      <c r="D19" s="253"/>
      <c r="E19" s="244"/>
      <c r="F19" s="244"/>
    </row>
    <row r="20" spans="1:6" ht="87" customHeight="1" x14ac:dyDescent="0.2">
      <c r="A20" s="254" t="s">
        <v>187</v>
      </c>
      <c r="B20" s="255" t="s">
        <v>224</v>
      </c>
      <c r="C20" s="252"/>
      <c r="D20" s="253"/>
      <c r="E20" s="244"/>
      <c r="F20" s="244"/>
    </row>
    <row r="21" spans="1:6" x14ac:dyDescent="0.2">
      <c r="A21" s="254"/>
      <c r="B21" s="251"/>
      <c r="C21" s="254" t="s">
        <v>37</v>
      </c>
      <c r="D21" s="253">
        <f>'baza-mulda kolicine'!E27</f>
        <v>28.61</v>
      </c>
      <c r="E21" s="244">
        <v>0</v>
      </c>
      <c r="F21" s="244">
        <f>+D21*E21</f>
        <v>0</v>
      </c>
    </row>
    <row r="22" spans="1:6" x14ac:dyDescent="0.2">
      <c r="A22" s="254"/>
      <c r="B22" s="251"/>
      <c r="C22" s="252"/>
      <c r="D22" s="253"/>
      <c r="E22" s="244"/>
      <c r="F22" s="244"/>
    </row>
    <row r="23" spans="1:6" ht="36" x14ac:dyDescent="0.2">
      <c r="A23" s="254" t="s">
        <v>186</v>
      </c>
      <c r="B23" s="255" t="s">
        <v>225</v>
      </c>
      <c r="C23" s="252"/>
      <c r="D23" s="253"/>
      <c r="E23" s="244"/>
      <c r="F23" s="244"/>
    </row>
    <row r="24" spans="1:6" x14ac:dyDescent="0.2">
      <c r="A24" s="254"/>
      <c r="B24" s="251"/>
      <c r="C24" s="254" t="s">
        <v>36</v>
      </c>
      <c r="D24" s="256">
        <f>1.1*('baza-mulda kolicine'!J27+'baza-mulda kolicine'!L27)</f>
        <v>37.477000000000004</v>
      </c>
      <c r="E24" s="244">
        <v>0</v>
      </c>
      <c r="F24" s="244">
        <f>+D24*E24</f>
        <v>0</v>
      </c>
    </row>
    <row r="25" spans="1:6" x14ac:dyDescent="0.2">
      <c r="A25" s="254"/>
      <c r="B25" s="251"/>
      <c r="C25" s="254"/>
      <c r="D25" s="256"/>
      <c r="E25" s="244"/>
      <c r="F25" s="244"/>
    </row>
    <row r="26" spans="1:6" x14ac:dyDescent="0.2">
      <c r="A26" s="254" t="s">
        <v>185</v>
      </c>
      <c r="B26" s="255" t="s">
        <v>182</v>
      </c>
      <c r="C26" s="252"/>
      <c r="D26" s="257"/>
      <c r="E26" s="244"/>
      <c r="F26" s="244"/>
    </row>
    <row r="27" spans="1:6" ht="48" x14ac:dyDescent="0.2">
      <c r="A27" s="258"/>
      <c r="B27" s="251" t="s">
        <v>184</v>
      </c>
      <c r="C27" s="252"/>
      <c r="D27" s="257"/>
      <c r="E27" s="244"/>
      <c r="F27" s="244"/>
    </row>
    <row r="28" spans="1:6" x14ac:dyDescent="0.2">
      <c r="A28" s="258"/>
      <c r="B28" s="251"/>
      <c r="C28" s="254" t="s">
        <v>37</v>
      </c>
      <c r="D28" s="256">
        <f>'baza-mulda kolicine'!G27</f>
        <v>14.31</v>
      </c>
      <c r="E28" s="244">
        <v>0</v>
      </c>
      <c r="F28" s="259">
        <f>+D28*E28</f>
        <v>0</v>
      </c>
    </row>
    <row r="29" spans="1:6" x14ac:dyDescent="0.2">
      <c r="A29" s="254"/>
      <c r="B29" s="251"/>
      <c r="C29" s="254"/>
      <c r="D29" s="256"/>
      <c r="E29" s="244"/>
      <c r="F29" s="244"/>
    </row>
    <row r="30" spans="1:6" x14ac:dyDescent="0.2">
      <c r="A30" s="254" t="s">
        <v>183</v>
      </c>
      <c r="B30" s="255" t="s">
        <v>182</v>
      </c>
      <c r="C30" s="252"/>
      <c r="D30" s="257"/>
      <c r="E30" s="244"/>
      <c r="F30" s="244"/>
    </row>
    <row r="31" spans="1:6" ht="48" x14ac:dyDescent="0.2">
      <c r="A31" s="258"/>
      <c r="B31" s="251" t="s">
        <v>181</v>
      </c>
      <c r="C31" s="252"/>
      <c r="D31" s="257"/>
      <c r="E31" s="244"/>
      <c r="F31" s="244"/>
    </row>
    <row r="32" spans="1:6" x14ac:dyDescent="0.2">
      <c r="A32" s="258"/>
      <c r="B32" s="251"/>
      <c r="C32" s="254" t="s">
        <v>37</v>
      </c>
      <c r="D32" s="256">
        <f>'baza-mulda kolicine'!F27</f>
        <v>9.5399999999999991</v>
      </c>
      <c r="E32" s="244">
        <v>0</v>
      </c>
      <c r="F32" s="259">
        <f>+D32*E32</f>
        <v>0</v>
      </c>
    </row>
    <row r="33" spans="1:9" x14ac:dyDescent="0.2">
      <c r="A33" s="258"/>
      <c r="B33" s="251"/>
      <c r="C33" s="254"/>
      <c r="D33" s="256"/>
      <c r="E33" s="244"/>
      <c r="F33" s="259"/>
    </row>
    <row r="34" spans="1:9" x14ac:dyDescent="0.2">
      <c r="A34" s="254" t="s">
        <v>180</v>
      </c>
      <c r="B34" s="255" t="s">
        <v>179</v>
      </c>
      <c r="C34" s="254"/>
      <c r="D34" s="256"/>
      <c r="E34" s="244"/>
      <c r="F34" s="244"/>
    </row>
    <row r="35" spans="1:9" ht="24" x14ac:dyDescent="0.2">
      <c r="A35" s="254"/>
      <c r="B35" s="251" t="s">
        <v>178</v>
      </c>
      <c r="C35" s="254"/>
      <c r="D35" s="256"/>
      <c r="E35" s="244"/>
      <c r="F35" s="244"/>
    </row>
    <row r="36" spans="1:9" x14ac:dyDescent="0.2">
      <c r="A36" s="254"/>
      <c r="B36" s="251"/>
      <c r="C36" s="254" t="s">
        <v>36</v>
      </c>
      <c r="D36" s="256">
        <f>'baza-mulda kolicine'!K27</f>
        <v>34.07</v>
      </c>
      <c r="E36" s="244">
        <v>0</v>
      </c>
      <c r="F36" s="259">
        <f>+D36*E36</f>
        <v>0</v>
      </c>
      <c r="G36" s="244"/>
    </row>
    <row r="37" spans="1:9" x14ac:dyDescent="0.2">
      <c r="A37" s="254"/>
      <c r="B37" s="251"/>
      <c r="C37" s="254"/>
      <c r="D37" s="256"/>
      <c r="E37" s="244"/>
      <c r="F37" s="260"/>
      <c r="G37" s="244"/>
    </row>
    <row r="38" spans="1:9" x14ac:dyDescent="0.2">
      <c r="A38" s="254" t="s">
        <v>177</v>
      </c>
      <c r="B38" s="255" t="s">
        <v>176</v>
      </c>
      <c r="C38" s="254"/>
      <c r="D38" s="256"/>
      <c r="E38" s="244"/>
      <c r="F38" s="260"/>
      <c r="G38" s="244"/>
    </row>
    <row r="39" spans="1:9" ht="24" x14ac:dyDescent="0.2">
      <c r="A39" s="254"/>
      <c r="B39" s="251" t="s">
        <v>175</v>
      </c>
      <c r="C39" s="254"/>
      <c r="D39" s="256"/>
      <c r="E39" s="244"/>
      <c r="F39" s="260"/>
      <c r="G39" s="244"/>
    </row>
    <row r="40" spans="1:9" x14ac:dyDescent="0.2">
      <c r="A40" s="254"/>
      <c r="B40" s="261"/>
      <c r="C40" s="254" t="s">
        <v>36</v>
      </c>
      <c r="D40" s="256">
        <f>'baza-mulda kolicine'!J27</f>
        <v>34.07</v>
      </c>
      <c r="E40" s="244">
        <v>0</v>
      </c>
      <c r="F40" s="259">
        <f>+D40*E40</f>
        <v>0</v>
      </c>
      <c r="G40" s="244"/>
    </row>
    <row r="41" spans="1:9" x14ac:dyDescent="0.2">
      <c r="A41" s="254" t="s">
        <v>174</v>
      </c>
      <c r="B41" s="255" t="s">
        <v>173</v>
      </c>
      <c r="C41" s="254"/>
      <c r="D41" s="256"/>
      <c r="E41" s="244"/>
      <c r="F41" s="244"/>
    </row>
    <row r="42" spans="1:9" ht="36" x14ac:dyDescent="0.2">
      <c r="A42" s="254"/>
      <c r="B42" s="251" t="s">
        <v>172</v>
      </c>
      <c r="C42" s="254"/>
      <c r="D42" s="256"/>
      <c r="E42" s="244"/>
      <c r="F42" s="244"/>
    </row>
    <row r="43" spans="1:9" x14ac:dyDescent="0.2">
      <c r="A43" s="254"/>
      <c r="B43" s="251"/>
      <c r="C43" s="254" t="s">
        <v>37</v>
      </c>
      <c r="D43" s="256">
        <v>1.5</v>
      </c>
      <c r="E43" s="244">
        <v>0</v>
      </c>
      <c r="F43" s="244">
        <f>+D43*E43</f>
        <v>0</v>
      </c>
    </row>
    <row r="44" spans="1:9" x14ac:dyDescent="0.2">
      <c r="A44" s="262"/>
      <c r="B44" s="263"/>
      <c r="C44" s="264"/>
      <c r="D44" s="265"/>
      <c r="E44" s="266"/>
      <c r="F44" s="266"/>
      <c r="G44" s="171"/>
    </row>
    <row r="45" spans="1:9" x14ac:dyDescent="0.2">
      <c r="A45" s="262"/>
      <c r="B45" s="267" t="s">
        <v>171</v>
      </c>
      <c r="C45" s="268"/>
      <c r="D45" s="269"/>
      <c r="E45" s="266"/>
      <c r="F45" s="292">
        <f>SUM(F17:F44)</f>
        <v>0</v>
      </c>
      <c r="G45" s="170"/>
    </row>
    <row r="46" spans="1:9" ht="15" x14ac:dyDescent="0.25">
      <c r="A46" s="228"/>
      <c r="D46" s="229"/>
      <c r="E46" s="70" t="s">
        <v>65</v>
      </c>
      <c r="F46" s="292">
        <f>+F45*0.22</f>
        <v>0</v>
      </c>
      <c r="H46" s="63"/>
      <c r="I46" s="34"/>
    </row>
    <row r="47" spans="1:9" x14ac:dyDescent="0.2">
      <c r="A47" s="228"/>
      <c r="D47" s="229"/>
      <c r="E47" s="63" t="s">
        <v>60</v>
      </c>
      <c r="F47" s="292">
        <f>+F46+F45</f>
        <v>0</v>
      </c>
    </row>
    <row r="48" spans="1:9" x14ac:dyDescent="0.2">
      <c r="A48" s="228"/>
      <c r="D48" s="229"/>
    </row>
    <row r="49" spans="1:4" x14ac:dyDescent="0.2">
      <c r="A49" s="228"/>
      <c r="D49" s="229"/>
    </row>
  </sheetData>
  <pageMargins left="0.62992125984251968" right="0.19685039370078741" top="0.31496062992125984" bottom="0.59055118110236227" header="0.31496062992125984" footer="0.39370078740157483"/>
  <pageSetup paperSize="9" scale="85" orientation="portrait" r:id="rId1"/>
  <headerFooter alignWithMargins="0">
    <oddFooter>&amp;L1.faza - Mulda&amp;R&amp;P/&amp;N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2"/>
  <sheetViews>
    <sheetView topLeftCell="A13" workbookViewId="0">
      <selection activeCell="E27" sqref="E27"/>
    </sheetView>
  </sheetViews>
  <sheetFormatPr defaultRowHeight="12.75" x14ac:dyDescent="0.2"/>
  <cols>
    <col min="1" max="1" width="5.42578125" style="143" customWidth="1"/>
    <col min="2" max="2" width="37.5703125" style="143" customWidth="1"/>
    <col min="3" max="3" width="6.5703125" style="134" customWidth="1"/>
    <col min="4" max="4" width="8.140625" style="225" bestFit="1" customWidth="1"/>
    <col min="5" max="5" width="8.140625" style="133" customWidth="1"/>
    <col min="6" max="6" width="12" style="133" customWidth="1"/>
    <col min="7" max="7" width="10.7109375" style="204" bestFit="1" customWidth="1"/>
    <col min="8" max="8" width="9.7109375" style="204" bestFit="1" customWidth="1"/>
    <col min="9" max="9" width="10.85546875" style="204" bestFit="1" customWidth="1"/>
    <col min="10" max="16384" width="9.140625" style="204"/>
  </cols>
  <sheetData>
    <row r="2" spans="1:8" s="202" customFormat="1" ht="16.5" x14ac:dyDescent="0.25">
      <c r="A2" s="197"/>
      <c r="B2" s="290" t="s">
        <v>243</v>
      </c>
      <c r="C2" s="199"/>
      <c r="D2" s="200"/>
      <c r="E2" s="201"/>
      <c r="F2" s="201"/>
    </row>
    <row r="3" spans="1:8" s="202" customFormat="1" ht="22.5" customHeight="1" x14ac:dyDescent="0.25">
      <c r="A3" s="197"/>
      <c r="B3" s="198"/>
      <c r="C3" s="199"/>
      <c r="D3" s="200"/>
      <c r="E3" s="201"/>
      <c r="F3" s="201"/>
    </row>
    <row r="4" spans="1:8" s="202" customFormat="1" ht="11.25" customHeight="1" x14ac:dyDescent="0.25">
      <c r="A4" s="166" t="s">
        <v>165</v>
      </c>
      <c r="B4" s="166" t="s">
        <v>164</v>
      </c>
      <c r="C4" s="165" t="s">
        <v>163</v>
      </c>
      <c r="D4" s="165" t="s">
        <v>162</v>
      </c>
      <c r="E4" s="164" t="s">
        <v>161</v>
      </c>
      <c r="F4" s="164" t="s">
        <v>160</v>
      </c>
    </row>
    <row r="5" spans="1:8" x14ac:dyDescent="0.2">
      <c r="A5" s="156" t="s">
        <v>116</v>
      </c>
      <c r="B5" s="154" t="s">
        <v>14</v>
      </c>
      <c r="C5" s="141"/>
      <c r="D5" s="203"/>
      <c r="E5" s="140"/>
      <c r="F5" s="140"/>
    </row>
    <row r="6" spans="1:8" x14ac:dyDescent="0.2">
      <c r="A6" s="127" t="s">
        <v>116</v>
      </c>
      <c r="B6" s="121" t="s">
        <v>159</v>
      </c>
      <c r="C6" s="120" t="s">
        <v>158</v>
      </c>
      <c r="D6" s="119">
        <v>1</v>
      </c>
      <c r="E6" s="155">
        <v>0</v>
      </c>
      <c r="F6" s="155">
        <f>D6*E6</f>
        <v>0</v>
      </c>
    </row>
    <row r="7" spans="1:8" ht="14.25" customHeight="1" x14ac:dyDescent="0.2">
      <c r="A7" s="117" t="s">
        <v>115</v>
      </c>
      <c r="B7" s="205" t="s">
        <v>157</v>
      </c>
      <c r="C7" s="206" t="s">
        <v>131</v>
      </c>
      <c r="D7" s="207">
        <v>126</v>
      </c>
      <c r="E7" s="114">
        <v>0</v>
      </c>
      <c r="F7" s="114">
        <f>D7*E7</f>
        <v>0</v>
      </c>
    </row>
    <row r="8" spans="1:8" x14ac:dyDescent="0.2">
      <c r="A8" s="208" t="s">
        <v>116</v>
      </c>
      <c r="B8" s="154" t="s">
        <v>156</v>
      </c>
      <c r="C8" s="209"/>
      <c r="D8" s="209"/>
      <c r="E8" s="210"/>
      <c r="F8" s="210">
        <f>SUM(F6:F7)</f>
        <v>0</v>
      </c>
    </row>
    <row r="9" spans="1:8" x14ac:dyDescent="0.2">
      <c r="A9" s="156"/>
      <c r="B9" s="154" t="s">
        <v>119</v>
      </c>
      <c r="C9" s="141"/>
      <c r="D9" s="141"/>
      <c r="E9" s="140"/>
      <c r="F9" s="140">
        <f>F8*0.22</f>
        <v>0</v>
      </c>
    </row>
    <row r="10" spans="1:8" s="211" customFormat="1" ht="12.75" customHeight="1" x14ac:dyDescent="0.2">
      <c r="A10" s="156"/>
      <c r="B10" s="154" t="s">
        <v>118</v>
      </c>
      <c r="C10" s="141"/>
      <c r="D10" s="141"/>
      <c r="E10" s="140"/>
      <c r="F10" s="140">
        <f>F8*1.22</f>
        <v>0</v>
      </c>
    </row>
    <row r="11" spans="1:8" s="211" customFormat="1" ht="15.75" customHeight="1" x14ac:dyDescent="0.2">
      <c r="A11" s="212"/>
      <c r="B11" s="213"/>
      <c r="C11" s="120"/>
      <c r="D11" s="119"/>
      <c r="E11" s="155"/>
      <c r="F11" s="155"/>
    </row>
    <row r="12" spans="1:8" x14ac:dyDescent="0.2">
      <c r="A12" s="156" t="s">
        <v>115</v>
      </c>
      <c r="B12" s="142" t="s">
        <v>114</v>
      </c>
      <c r="C12" s="120"/>
      <c r="D12" s="119"/>
      <c r="E12" s="155"/>
      <c r="F12" s="155"/>
      <c r="G12" s="214"/>
    </row>
    <row r="13" spans="1:8" x14ac:dyDescent="0.2">
      <c r="A13" s="163" t="s">
        <v>146</v>
      </c>
      <c r="B13" s="142" t="s">
        <v>145</v>
      </c>
      <c r="C13" s="158"/>
      <c r="D13" s="131"/>
      <c r="E13" s="118"/>
      <c r="F13" s="118"/>
      <c r="H13" s="215"/>
    </row>
    <row r="14" spans="1:8" ht="25.5" x14ac:dyDescent="0.2">
      <c r="A14" s="127" t="s">
        <v>116</v>
      </c>
      <c r="B14" s="162" t="s">
        <v>144</v>
      </c>
      <c r="C14" s="158" t="s">
        <v>37</v>
      </c>
      <c r="D14" s="131">
        <v>100</v>
      </c>
      <c r="E14" s="118">
        <v>0</v>
      </c>
      <c r="F14" s="118">
        <f t="shared" ref="F14:F22" si="0">D14*E14</f>
        <v>0</v>
      </c>
      <c r="H14" s="215"/>
    </row>
    <row r="15" spans="1:8" ht="25.5" x14ac:dyDescent="0.2">
      <c r="A15" s="127" t="s">
        <v>115</v>
      </c>
      <c r="B15" s="161" t="s">
        <v>143</v>
      </c>
      <c r="C15" s="160" t="s">
        <v>36</v>
      </c>
      <c r="D15" s="159">
        <v>100</v>
      </c>
      <c r="E15" s="122">
        <v>0</v>
      </c>
      <c r="F15" s="216">
        <f t="shared" si="0"/>
        <v>0</v>
      </c>
      <c r="H15" s="215"/>
    </row>
    <row r="16" spans="1:8" ht="25.5" x14ac:dyDescent="0.2">
      <c r="A16" s="127" t="s">
        <v>113</v>
      </c>
      <c r="B16" s="121" t="s">
        <v>142</v>
      </c>
      <c r="C16" s="158" t="s">
        <v>131</v>
      </c>
      <c r="D16" s="131">
        <v>106</v>
      </c>
      <c r="E16" s="270">
        <v>0</v>
      </c>
      <c r="F16" s="118">
        <f t="shared" si="0"/>
        <v>0</v>
      </c>
    </row>
    <row r="17" spans="1:7" ht="25.5" x14ac:dyDescent="0.2">
      <c r="A17" s="127" t="s">
        <v>141</v>
      </c>
      <c r="B17" s="121" t="s">
        <v>140</v>
      </c>
      <c r="C17" s="158" t="s">
        <v>131</v>
      </c>
      <c r="D17" s="131">
        <v>20</v>
      </c>
      <c r="E17" s="270">
        <v>0</v>
      </c>
      <c r="F17" s="118">
        <f t="shared" si="0"/>
        <v>0</v>
      </c>
    </row>
    <row r="18" spans="1:7" x14ac:dyDescent="0.2">
      <c r="A18" s="127" t="s">
        <v>139</v>
      </c>
      <c r="B18" s="132" t="s">
        <v>138</v>
      </c>
      <c r="C18" s="129" t="s">
        <v>36</v>
      </c>
      <c r="D18" s="131">
        <v>385</v>
      </c>
      <c r="E18" s="128">
        <v>0</v>
      </c>
      <c r="F18" s="128">
        <f t="shared" si="0"/>
        <v>0</v>
      </c>
    </row>
    <row r="19" spans="1:7" ht="29.25" customHeight="1" x14ac:dyDescent="0.2">
      <c r="A19" s="127" t="s">
        <v>137</v>
      </c>
      <c r="B19" s="126" t="s">
        <v>136</v>
      </c>
      <c r="C19" s="125" t="s">
        <v>37</v>
      </c>
      <c r="D19" s="124">
        <v>60</v>
      </c>
      <c r="E19" s="123">
        <v>0</v>
      </c>
      <c r="F19" s="122">
        <f t="shared" si="0"/>
        <v>0</v>
      </c>
    </row>
    <row r="20" spans="1:7" ht="18.75" customHeight="1" x14ac:dyDescent="0.2">
      <c r="A20" s="127" t="s">
        <v>135</v>
      </c>
      <c r="B20" s="126" t="s">
        <v>134</v>
      </c>
      <c r="C20" s="125" t="s">
        <v>37</v>
      </c>
      <c r="D20" s="124">
        <v>40</v>
      </c>
      <c r="E20" s="123">
        <v>0</v>
      </c>
      <c r="F20" s="122">
        <f t="shared" si="0"/>
        <v>0</v>
      </c>
    </row>
    <row r="21" spans="1:7" ht="26.25" customHeight="1" x14ac:dyDescent="0.2">
      <c r="A21" s="127" t="s">
        <v>133</v>
      </c>
      <c r="B21" s="126" t="s">
        <v>132</v>
      </c>
      <c r="C21" s="125" t="s">
        <v>131</v>
      </c>
      <c r="D21" s="124">
        <v>1</v>
      </c>
      <c r="E21" s="123">
        <v>0</v>
      </c>
      <c r="F21" s="122">
        <f t="shared" si="0"/>
        <v>0</v>
      </c>
    </row>
    <row r="22" spans="1:7" x14ac:dyDescent="0.2">
      <c r="A22" s="217" t="s">
        <v>130</v>
      </c>
      <c r="B22" s="121" t="s">
        <v>129</v>
      </c>
      <c r="C22" s="120" t="s">
        <v>36</v>
      </c>
      <c r="D22" s="119">
        <v>1500</v>
      </c>
      <c r="E22" s="118">
        <v>0</v>
      </c>
      <c r="F22" s="118">
        <f t="shared" si="0"/>
        <v>0</v>
      </c>
      <c r="G22" s="215">
        <f>SUM(F14:F22)</f>
        <v>0</v>
      </c>
    </row>
    <row r="23" spans="1:7" ht="13.5" customHeight="1" x14ac:dyDescent="0.2">
      <c r="A23" s="117" t="s">
        <v>128</v>
      </c>
      <c r="B23" s="116" t="s">
        <v>127</v>
      </c>
      <c r="C23" s="115"/>
      <c r="D23" s="115"/>
      <c r="E23" s="114"/>
      <c r="F23" s="114">
        <f>G22*0.1</f>
        <v>0</v>
      </c>
    </row>
    <row r="24" spans="1:7" x14ac:dyDescent="0.2">
      <c r="A24" s="157" t="s">
        <v>115</v>
      </c>
      <c r="B24" s="295" t="s">
        <v>126</v>
      </c>
      <c r="C24" s="295"/>
      <c r="D24" s="141"/>
      <c r="E24" s="140"/>
      <c r="F24" s="140">
        <f>SUM(F13:F23)</f>
        <v>0</v>
      </c>
    </row>
    <row r="25" spans="1:7" x14ac:dyDescent="0.2">
      <c r="B25" s="154" t="s">
        <v>119</v>
      </c>
      <c r="C25" s="141"/>
      <c r="D25" s="141"/>
      <c r="E25" s="140"/>
      <c r="F25" s="140">
        <f>F24*0.22</f>
        <v>0</v>
      </c>
    </row>
    <row r="26" spans="1:7" x14ac:dyDescent="0.2">
      <c r="B26" s="154" t="s">
        <v>125</v>
      </c>
      <c r="C26" s="141"/>
      <c r="D26" s="141"/>
      <c r="E26" s="140"/>
      <c r="F26" s="140">
        <f>F24*1.22</f>
        <v>0</v>
      </c>
    </row>
    <row r="27" spans="1:7" x14ac:dyDescent="0.2">
      <c r="B27" s="154"/>
      <c r="C27" s="141"/>
      <c r="D27" s="141"/>
      <c r="E27" s="140"/>
      <c r="F27" s="140"/>
    </row>
    <row r="28" spans="1:7" x14ac:dyDescent="0.2">
      <c r="A28" s="156" t="s">
        <v>113</v>
      </c>
      <c r="B28" s="154" t="s">
        <v>112</v>
      </c>
      <c r="C28" s="141"/>
      <c r="D28" s="203"/>
      <c r="E28" s="140"/>
      <c r="F28" s="140"/>
    </row>
    <row r="29" spans="1:7" s="218" customFormat="1" ht="14.25" customHeight="1" x14ac:dyDescent="0.2">
      <c r="A29" s="127" t="s">
        <v>116</v>
      </c>
      <c r="B29" s="121" t="s">
        <v>124</v>
      </c>
      <c r="C29" s="120" t="s">
        <v>36</v>
      </c>
      <c r="D29" s="119">
        <v>2000</v>
      </c>
      <c r="E29" s="155">
        <v>0</v>
      </c>
      <c r="F29" s="155">
        <f>D29*E29</f>
        <v>0</v>
      </c>
    </row>
    <row r="30" spans="1:7" s="218" customFormat="1" ht="14.25" customHeight="1" x14ac:dyDescent="0.2">
      <c r="A30" s="127" t="s">
        <v>115</v>
      </c>
      <c r="B30" s="162" t="s">
        <v>123</v>
      </c>
      <c r="C30" s="158" t="s">
        <v>121</v>
      </c>
      <c r="D30" s="131">
        <v>1</v>
      </c>
      <c r="E30" s="118">
        <v>0</v>
      </c>
      <c r="F30" s="118">
        <f>D30*E30</f>
        <v>0</v>
      </c>
    </row>
    <row r="31" spans="1:7" ht="15.75" customHeight="1" x14ac:dyDescent="0.2">
      <c r="A31" s="117" t="s">
        <v>113</v>
      </c>
      <c r="B31" s="219" t="s">
        <v>122</v>
      </c>
      <c r="C31" s="206" t="s">
        <v>121</v>
      </c>
      <c r="D31" s="207">
        <v>1</v>
      </c>
      <c r="E31" s="114">
        <v>0</v>
      </c>
      <c r="F31" s="114">
        <f>D31*E31</f>
        <v>0</v>
      </c>
    </row>
    <row r="32" spans="1:7" ht="15" customHeight="1" x14ac:dyDescent="0.2">
      <c r="A32" s="208" t="s">
        <v>116</v>
      </c>
      <c r="B32" s="154" t="s">
        <v>120</v>
      </c>
      <c r="C32" s="209"/>
      <c r="D32" s="209"/>
      <c r="E32" s="210"/>
      <c r="F32" s="210">
        <f>SUM(F29:F31)</f>
        <v>0</v>
      </c>
    </row>
    <row r="33" spans="1:6" x14ac:dyDescent="0.2">
      <c r="A33" s="156"/>
      <c r="B33" s="154" t="s">
        <v>119</v>
      </c>
      <c r="C33" s="141"/>
      <c r="D33" s="141"/>
      <c r="E33" s="140"/>
      <c r="F33" s="140">
        <f>F32*0.22</f>
        <v>0</v>
      </c>
    </row>
    <row r="34" spans="1:6" x14ac:dyDescent="0.2">
      <c r="A34" s="156"/>
      <c r="B34" s="154" t="s">
        <v>118</v>
      </c>
      <c r="C34" s="141"/>
      <c r="D34" s="141"/>
      <c r="E34" s="140"/>
      <c r="F34" s="140">
        <f>F32*1.22</f>
        <v>0</v>
      </c>
    </row>
    <row r="35" spans="1:6" x14ac:dyDescent="0.2">
      <c r="A35" s="127"/>
      <c r="B35" s="121"/>
      <c r="C35" s="120"/>
      <c r="D35" s="119"/>
      <c r="E35" s="118"/>
      <c r="F35" s="118"/>
    </row>
    <row r="36" spans="1:6" ht="15.75" x14ac:dyDescent="0.2">
      <c r="A36" s="296" t="s">
        <v>117</v>
      </c>
      <c r="B36" s="296"/>
      <c r="C36" s="296"/>
      <c r="D36" s="296"/>
      <c r="E36" s="296"/>
      <c r="F36" s="296"/>
    </row>
    <row r="37" spans="1:6" ht="14.25" x14ac:dyDescent="0.2">
      <c r="A37" s="220" t="s">
        <v>116</v>
      </c>
      <c r="B37" s="145" t="s">
        <v>14</v>
      </c>
      <c r="C37" s="153"/>
      <c r="D37" s="152"/>
      <c r="E37" s="214"/>
      <c r="F37" s="151">
        <f>F8</f>
        <v>0</v>
      </c>
    </row>
    <row r="38" spans="1:6" ht="14.25" x14ac:dyDescent="0.2">
      <c r="A38" s="220" t="s">
        <v>115</v>
      </c>
      <c r="B38" s="145" t="s">
        <v>114</v>
      </c>
      <c r="C38" s="153"/>
      <c r="D38" s="152"/>
      <c r="E38" s="214"/>
      <c r="F38" s="151">
        <f>F24</f>
        <v>0</v>
      </c>
    </row>
    <row r="39" spans="1:6" ht="14.25" x14ac:dyDescent="0.2">
      <c r="A39" s="221" t="s">
        <v>113</v>
      </c>
      <c r="B39" s="150" t="s">
        <v>112</v>
      </c>
      <c r="C39" s="149"/>
      <c r="D39" s="148"/>
      <c r="E39" s="222"/>
      <c r="F39" s="147">
        <f>F32</f>
        <v>0</v>
      </c>
    </row>
    <row r="40" spans="1:6" ht="15" x14ac:dyDescent="0.2">
      <c r="A40" s="139"/>
      <c r="B40" s="138" t="s">
        <v>111</v>
      </c>
      <c r="C40" s="137"/>
      <c r="D40" s="137"/>
      <c r="E40" s="146"/>
      <c r="F40" s="223">
        <f>SUM(F37:F39)</f>
        <v>0</v>
      </c>
    </row>
    <row r="41" spans="1:6" ht="15" x14ac:dyDescent="0.2">
      <c r="A41" s="139"/>
      <c r="B41" s="138" t="s">
        <v>110</v>
      </c>
      <c r="C41" s="137"/>
      <c r="D41" s="137"/>
      <c r="E41" s="146"/>
      <c r="F41" s="223">
        <f>F40*0.22</f>
        <v>0</v>
      </c>
    </row>
    <row r="42" spans="1:6" ht="15" x14ac:dyDescent="0.2">
      <c r="B42" s="145" t="s">
        <v>109</v>
      </c>
      <c r="C42" s="137"/>
      <c r="D42" s="137"/>
      <c r="E42" s="146"/>
      <c r="F42" s="223">
        <f>F41+F40</f>
        <v>0</v>
      </c>
    </row>
    <row r="43" spans="1:6" x14ac:dyDescent="0.2">
      <c r="A43" s="144"/>
      <c r="B43" s="135"/>
      <c r="D43" s="134"/>
    </row>
    <row r="44" spans="1:6" x14ac:dyDescent="0.2">
      <c r="B44" s="142"/>
      <c r="C44" s="141"/>
      <c r="D44" s="141"/>
      <c r="E44" s="140"/>
    </row>
    <row r="45" spans="1:6" ht="14.25" x14ac:dyDescent="0.2">
      <c r="A45" s="139"/>
      <c r="B45" s="135"/>
      <c r="D45" s="134"/>
    </row>
    <row r="46" spans="1:6" ht="14.25" x14ac:dyDescent="0.2">
      <c r="A46" s="139"/>
      <c r="B46" s="138"/>
      <c r="C46" s="137"/>
      <c r="D46" s="137"/>
      <c r="E46" s="224"/>
      <c r="F46" s="136"/>
    </row>
    <row r="47" spans="1:6" x14ac:dyDescent="0.2">
      <c r="B47" s="135"/>
      <c r="D47" s="134"/>
    </row>
    <row r="48" spans="1:6" ht="14.25" x14ac:dyDescent="0.2">
      <c r="B48" s="138"/>
      <c r="C48" s="137"/>
      <c r="D48" s="137"/>
      <c r="E48" s="224"/>
      <c r="F48" s="136"/>
    </row>
    <row r="49" spans="1:6" x14ac:dyDescent="0.2">
      <c r="B49" s="135"/>
      <c r="D49" s="134"/>
    </row>
    <row r="51" spans="1:6" x14ac:dyDescent="0.2">
      <c r="A51" s="127"/>
      <c r="B51" s="132"/>
      <c r="C51" s="129"/>
      <c r="D51" s="131"/>
      <c r="E51" s="128"/>
      <c r="F51" s="128"/>
    </row>
    <row r="52" spans="1:6" x14ac:dyDescent="0.2">
      <c r="A52" s="127"/>
      <c r="B52" s="130"/>
      <c r="C52" s="129"/>
      <c r="D52" s="124"/>
      <c r="E52" s="128"/>
      <c r="F52" s="128"/>
    </row>
  </sheetData>
  <mergeCells count="2">
    <mergeCell ref="B24:C24"/>
    <mergeCell ref="A36:F36"/>
  </mergeCells>
  <pageMargins left="0.86614173228346458" right="0.19685039370078741" top="0.31496062992125984" bottom="0.47244094488188981" header="0" footer="0"/>
  <pageSetup paperSize="9" scale="85" orientation="portrait" r:id="rId1"/>
  <headerFooter alignWithMargins="0">
    <oddFooter>&amp;L2.faza - Drenaže&amp;R&amp;P/&amp;N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dimension ref="A2:N53"/>
  <sheetViews>
    <sheetView view="pageBreakPreview" topLeftCell="A10" zoomScaleNormal="85" zoomScaleSheetLayoutView="100" workbookViewId="0">
      <selection activeCell="L52" sqref="L52"/>
    </sheetView>
  </sheetViews>
  <sheetFormatPr defaultRowHeight="12.75" x14ac:dyDescent="0.2"/>
  <cols>
    <col min="1" max="1" width="8.42578125" style="2" customWidth="1"/>
    <col min="2" max="2" width="12.140625" style="2" customWidth="1"/>
    <col min="3" max="4" width="9.140625" style="2" customWidth="1"/>
    <col min="5" max="9" width="9.140625" style="87" customWidth="1"/>
    <col min="10" max="14" width="9.140625" style="2" customWidth="1"/>
  </cols>
  <sheetData>
    <row r="2" spans="1:14" ht="18" x14ac:dyDescent="0.25">
      <c r="A2" s="32" t="s">
        <v>88</v>
      </c>
    </row>
    <row r="3" spans="1:14" ht="18.75" thickBot="1" x14ac:dyDescent="0.3">
      <c r="A3" s="8" t="s">
        <v>89</v>
      </c>
      <c r="B3" s="5"/>
    </row>
    <row r="4" spans="1:14" ht="13.5" thickBot="1" x14ac:dyDescent="0.25">
      <c r="J4" s="299" t="s">
        <v>34</v>
      </c>
      <c r="K4" s="300"/>
      <c r="L4" s="300"/>
      <c r="M4" s="301"/>
    </row>
    <row r="5" spans="1:14" s="1" customFormat="1" ht="51.75" thickBot="1" x14ac:dyDescent="0.25">
      <c r="A5" s="20" t="s">
        <v>63</v>
      </c>
      <c r="B5" s="21" t="s">
        <v>53</v>
      </c>
      <c r="C5" s="21" t="s">
        <v>28</v>
      </c>
      <c r="D5" s="21" t="s">
        <v>29</v>
      </c>
      <c r="E5" s="88" t="s">
        <v>30</v>
      </c>
      <c r="F5" s="88" t="s">
        <v>31</v>
      </c>
      <c r="G5" s="88" t="s">
        <v>32</v>
      </c>
      <c r="H5" s="88" t="s">
        <v>35</v>
      </c>
      <c r="I5" s="89" t="s">
        <v>33</v>
      </c>
      <c r="J5" s="37" t="s">
        <v>32</v>
      </c>
      <c r="K5" s="21" t="s">
        <v>71</v>
      </c>
      <c r="L5" s="21" t="s">
        <v>38</v>
      </c>
      <c r="M5" s="22" t="s">
        <v>49</v>
      </c>
      <c r="N5" s="3"/>
    </row>
    <row r="6" spans="1:14" x14ac:dyDescent="0.2">
      <c r="A6" s="16"/>
      <c r="B6" s="17"/>
      <c r="C6" s="18" t="s">
        <v>15</v>
      </c>
      <c r="D6" s="38" t="s">
        <v>72</v>
      </c>
      <c r="E6" s="90" t="s">
        <v>15</v>
      </c>
      <c r="F6" s="90" t="s">
        <v>15</v>
      </c>
      <c r="G6" s="90" t="s">
        <v>15</v>
      </c>
      <c r="H6" s="90" t="s">
        <v>15</v>
      </c>
      <c r="I6" s="91" t="s">
        <v>15</v>
      </c>
      <c r="J6" s="53" t="s">
        <v>36</v>
      </c>
      <c r="K6" s="54" t="s">
        <v>37</v>
      </c>
      <c r="L6" s="54" t="s">
        <v>37</v>
      </c>
      <c r="M6" s="29" t="s">
        <v>36</v>
      </c>
    </row>
    <row r="7" spans="1:14" x14ac:dyDescent="0.2">
      <c r="A7" s="33"/>
      <c r="B7" s="17"/>
      <c r="C7" s="18"/>
      <c r="D7" s="18"/>
      <c r="E7" s="90"/>
      <c r="F7" s="90"/>
      <c r="G7" s="90"/>
      <c r="H7" s="90"/>
      <c r="I7" s="91"/>
      <c r="J7" s="51"/>
      <c r="K7" s="18"/>
      <c r="L7" s="18"/>
      <c r="M7" s="19"/>
    </row>
    <row r="8" spans="1:14" x14ac:dyDescent="0.2">
      <c r="A8" s="33" t="s">
        <v>78</v>
      </c>
      <c r="B8" s="17"/>
      <c r="C8" s="18"/>
      <c r="D8" s="18"/>
      <c r="E8" s="90"/>
      <c r="F8" s="90"/>
      <c r="G8" s="90"/>
      <c r="H8" s="90"/>
      <c r="I8" s="91"/>
      <c r="J8" s="51"/>
      <c r="K8" s="18"/>
      <c r="L8" s="18"/>
      <c r="M8" s="19"/>
    </row>
    <row r="9" spans="1:14" x14ac:dyDescent="0.2">
      <c r="A9" s="13">
        <v>0</v>
      </c>
      <c r="B9" s="55" t="s">
        <v>90</v>
      </c>
      <c r="C9" s="9">
        <v>0.9</v>
      </c>
      <c r="D9" s="9">
        <v>75</v>
      </c>
      <c r="E9" s="92">
        <v>0.5</v>
      </c>
      <c r="F9" s="92">
        <f>C9+2*E9/(TAN(D9*PI()/180))</f>
        <v>1.1679491924311227</v>
      </c>
      <c r="G9" s="92">
        <f>F9</f>
        <v>1.1679491924311227</v>
      </c>
      <c r="H9" s="93">
        <f>+F9</f>
        <v>1.1679491924311227</v>
      </c>
      <c r="I9" s="94"/>
      <c r="J9" s="49"/>
      <c r="K9" s="9"/>
      <c r="L9" s="9">
        <v>1.1499999999999999</v>
      </c>
      <c r="M9" s="12"/>
    </row>
    <row r="10" spans="1:14" x14ac:dyDescent="0.2">
      <c r="A10" s="13"/>
      <c r="B10" s="11"/>
      <c r="C10" s="9"/>
      <c r="D10" s="9"/>
      <c r="E10" s="92"/>
      <c r="F10" s="92"/>
      <c r="G10" s="92"/>
      <c r="H10" s="93"/>
      <c r="I10" s="12">
        <v>10.58</v>
      </c>
      <c r="J10" s="2">
        <v>0</v>
      </c>
      <c r="K10" s="10">
        <f>I10*(H9+H11)*0.5*0.3</f>
        <v>4.047259031486937</v>
      </c>
      <c r="L10" s="9">
        <f>(C9+F9+C11+F11)*0.25*(E9+E11)*0.5*I10</f>
        <v>8.0545022034014249</v>
      </c>
      <c r="M10" s="12">
        <f>(C9+C11)*0.5*I10</f>
        <v>9.5220000000000002</v>
      </c>
    </row>
    <row r="11" spans="1:14" x14ac:dyDescent="0.2">
      <c r="A11" s="13">
        <v>1</v>
      </c>
      <c r="B11" s="11" t="s">
        <v>91</v>
      </c>
      <c r="C11" s="9">
        <f>C$9</f>
        <v>0.9</v>
      </c>
      <c r="D11" s="9">
        <f>D$9</f>
        <v>75</v>
      </c>
      <c r="E11" s="92">
        <v>0.9</v>
      </c>
      <c r="F11" s="92">
        <f>C11+2*E11/(TAN(D11*PI()/180))</f>
        <v>1.382308546376021</v>
      </c>
      <c r="G11" s="92">
        <f>F11</f>
        <v>1.382308546376021</v>
      </c>
      <c r="H11" s="93">
        <f>+F11</f>
        <v>1.382308546376021</v>
      </c>
      <c r="I11" s="94"/>
      <c r="J11" s="49"/>
      <c r="K11" s="10"/>
      <c r="L11" s="9"/>
      <c r="M11" s="12"/>
    </row>
    <row r="12" spans="1:14" x14ac:dyDescent="0.2">
      <c r="A12" s="13"/>
      <c r="B12" s="11"/>
      <c r="C12" s="9">
        <v>0.8</v>
      </c>
      <c r="D12" s="9">
        <f>D$9</f>
        <v>75</v>
      </c>
      <c r="E12" s="92">
        <v>0.9</v>
      </c>
      <c r="F12" s="92">
        <f>C12+2*E12/(TAN(D12*PI()/180))</f>
        <v>1.2823085463760209</v>
      </c>
      <c r="G12" s="92">
        <f>F12</f>
        <v>1.2823085463760209</v>
      </c>
      <c r="H12" s="93">
        <f>+F12</f>
        <v>1.2823085463760209</v>
      </c>
      <c r="I12" s="94"/>
      <c r="J12" s="49"/>
      <c r="K12" s="10"/>
      <c r="L12" s="9">
        <v>2</v>
      </c>
      <c r="M12" s="12"/>
    </row>
    <row r="13" spans="1:14" x14ac:dyDescent="0.2">
      <c r="A13" s="13"/>
      <c r="B13" s="11"/>
      <c r="C13" s="9"/>
      <c r="D13" s="9"/>
      <c r="E13" s="92"/>
      <c r="F13" s="92"/>
      <c r="G13" s="92"/>
      <c r="H13" s="93"/>
      <c r="I13" s="12">
        <v>27.3</v>
      </c>
      <c r="J13" s="49">
        <v>0</v>
      </c>
      <c r="K13" s="10">
        <f>I13*(H12+H14)*0.5*0.3</f>
        <v>10.94100777202179</v>
      </c>
      <c r="L13" s="9">
        <f>(C12+F12+C14+F14)*0.25*(E12+E14)*0.5*I13</f>
        <v>29.155012953369649</v>
      </c>
      <c r="M13" s="12">
        <f>(C12+C14)*0.5*I13</f>
        <v>21.840000000000003</v>
      </c>
    </row>
    <row r="14" spans="1:14" x14ac:dyDescent="0.2">
      <c r="A14" s="13">
        <v>2</v>
      </c>
      <c r="B14" s="11" t="s">
        <v>92</v>
      </c>
      <c r="C14" s="9">
        <v>0.8</v>
      </c>
      <c r="D14" s="9">
        <f>D$9</f>
        <v>75</v>
      </c>
      <c r="E14" s="92">
        <v>1.1000000000000001</v>
      </c>
      <c r="F14" s="92">
        <f>C14+2*E14/(TAN(D14*PI()/180))</f>
        <v>1.38948822334847</v>
      </c>
      <c r="G14" s="92">
        <f>F14</f>
        <v>1.38948822334847</v>
      </c>
      <c r="H14" s="93">
        <f>+F14</f>
        <v>1.38948822334847</v>
      </c>
      <c r="I14" s="94"/>
      <c r="J14" s="49"/>
      <c r="K14" s="10"/>
      <c r="L14" s="9"/>
      <c r="M14" s="12"/>
    </row>
    <row r="15" spans="1:14" x14ac:dyDescent="0.2">
      <c r="A15" s="13"/>
      <c r="B15" s="11"/>
      <c r="C15" s="9">
        <v>0.8</v>
      </c>
      <c r="D15" s="9">
        <f>D$9</f>
        <v>75</v>
      </c>
      <c r="E15" s="92">
        <v>1.1000000000000001</v>
      </c>
      <c r="F15" s="92">
        <f>C15+2*E15/(TAN(D15*PI()/180))</f>
        <v>1.38948822334847</v>
      </c>
      <c r="G15" s="92">
        <f>F15</f>
        <v>1.38948822334847</v>
      </c>
      <c r="H15" s="93">
        <f>+F15</f>
        <v>1.38948822334847</v>
      </c>
      <c r="I15" s="94"/>
      <c r="J15" s="49"/>
      <c r="K15" s="10"/>
      <c r="L15" s="9">
        <v>1.1499999999999999</v>
      </c>
      <c r="M15" s="12"/>
    </row>
    <row r="16" spans="1:14" x14ac:dyDescent="0.2">
      <c r="A16" s="13"/>
      <c r="B16" s="11"/>
      <c r="C16" s="9"/>
      <c r="D16" s="9"/>
      <c r="E16" s="92"/>
      <c r="F16" s="92"/>
      <c r="G16" s="92"/>
      <c r="H16" s="93"/>
      <c r="I16" s="12">
        <v>27.51</v>
      </c>
      <c r="J16" s="49">
        <v>0</v>
      </c>
      <c r="K16" s="10">
        <f>I16*(H15+H17)*0.5*0.3</f>
        <v>11.025169370268111</v>
      </c>
      <c r="L16" s="9">
        <f>(C15+F15+C17+F17)*0.25*(E15+E17)*0.5*I16</f>
        <v>29.379282283780185</v>
      </c>
      <c r="M16" s="12">
        <f>(C15+C17)*0.5*I16</f>
        <v>22.008000000000003</v>
      </c>
    </row>
    <row r="17" spans="1:13" x14ac:dyDescent="0.2">
      <c r="A17" s="13">
        <v>3</v>
      </c>
      <c r="B17" s="11" t="s">
        <v>93</v>
      </c>
      <c r="C17" s="9">
        <v>0.8</v>
      </c>
      <c r="D17" s="9">
        <f>D$9</f>
        <v>75</v>
      </c>
      <c r="E17" s="92">
        <v>0.9</v>
      </c>
      <c r="F17" s="92">
        <f>C17+2*E17/(TAN(D17*PI()/180))</f>
        <v>1.2823085463760209</v>
      </c>
      <c r="G17" s="92">
        <f>F17</f>
        <v>1.2823085463760209</v>
      </c>
      <c r="H17" s="93">
        <f>+F17</f>
        <v>1.2823085463760209</v>
      </c>
      <c r="I17" s="94"/>
      <c r="J17" s="49"/>
      <c r="K17" s="10"/>
      <c r="L17" s="9"/>
      <c r="M17" s="12"/>
    </row>
    <row r="18" spans="1:13" x14ac:dyDescent="0.2">
      <c r="A18" s="13"/>
      <c r="B18" s="11"/>
      <c r="C18" s="9">
        <v>0.8</v>
      </c>
      <c r="D18" s="9">
        <f>D$9</f>
        <v>75</v>
      </c>
      <c r="E18" s="92">
        <v>0.9</v>
      </c>
      <c r="F18" s="92">
        <f>C18+2*E18/(TAN(D18*PI()/180))</f>
        <v>1.2823085463760209</v>
      </c>
      <c r="G18" s="92">
        <f>F18</f>
        <v>1.2823085463760209</v>
      </c>
      <c r="H18" s="93">
        <f>+F18</f>
        <v>1.2823085463760209</v>
      </c>
      <c r="I18" s="94"/>
      <c r="J18" s="49"/>
      <c r="K18" s="10"/>
      <c r="L18" s="9">
        <v>2</v>
      </c>
      <c r="M18" s="12"/>
    </row>
    <row r="19" spans="1:13" x14ac:dyDescent="0.2">
      <c r="A19" s="13"/>
      <c r="B19" s="7"/>
      <c r="C19" s="9"/>
      <c r="D19" s="9"/>
      <c r="E19" s="92"/>
      <c r="F19" s="92"/>
      <c r="G19" s="92"/>
      <c r="H19" s="93"/>
      <c r="I19" s="12">
        <v>9.0399999999999991</v>
      </c>
      <c r="J19" s="49">
        <f>I19*(G18+G20+1)*0.5</f>
        <v>16.112069259239227</v>
      </c>
      <c r="K19" s="10">
        <v>0</v>
      </c>
      <c r="L19" s="9">
        <f>(C18+F18+C20+F20)*0.25*(E18+E20)*0.5*I19</f>
        <v>8.4708311666576535</v>
      </c>
      <c r="M19" s="12">
        <f>(C18+C20)*0.5*I19</f>
        <v>7.2319999999999993</v>
      </c>
    </row>
    <row r="20" spans="1:13" x14ac:dyDescent="0.2">
      <c r="A20" s="13">
        <v>4</v>
      </c>
      <c r="B20" s="11" t="s">
        <v>94</v>
      </c>
      <c r="C20" s="9">
        <v>0.8</v>
      </c>
      <c r="D20" s="9">
        <f>D$9</f>
        <v>75</v>
      </c>
      <c r="E20" s="92">
        <v>0.9</v>
      </c>
      <c r="F20" s="92">
        <f>C20+2*E20/(TAN(D20*PI()/180))</f>
        <v>1.2823085463760209</v>
      </c>
      <c r="G20" s="92">
        <f t="shared" ref="G20:G29" si="0">F20</f>
        <v>1.2823085463760209</v>
      </c>
      <c r="H20" s="93">
        <f>+F20</f>
        <v>1.2823085463760209</v>
      </c>
      <c r="I20" s="94"/>
      <c r="J20" s="49"/>
      <c r="K20" s="10"/>
      <c r="L20" s="9"/>
      <c r="M20" s="12"/>
    </row>
    <row r="21" spans="1:13" x14ac:dyDescent="0.2">
      <c r="A21" s="13"/>
      <c r="B21" s="11"/>
      <c r="C21" s="9">
        <v>0.7</v>
      </c>
      <c r="D21" s="9">
        <f>D$9</f>
        <v>75</v>
      </c>
      <c r="E21" s="92">
        <v>0.9</v>
      </c>
      <c r="F21" s="92">
        <f>C21+2*E21/(TAN(D21*PI()/180))</f>
        <v>1.1823085463760208</v>
      </c>
      <c r="G21" s="92">
        <f t="shared" si="0"/>
        <v>1.1823085463760208</v>
      </c>
      <c r="H21" s="93">
        <f>+F21</f>
        <v>1.1823085463760208</v>
      </c>
      <c r="I21" s="94"/>
      <c r="J21" s="49"/>
      <c r="K21" s="10"/>
      <c r="L21" s="9">
        <v>1.1499999999999999</v>
      </c>
      <c r="M21" s="12"/>
    </row>
    <row r="22" spans="1:13" x14ac:dyDescent="0.2">
      <c r="A22" s="13"/>
      <c r="B22" s="7"/>
      <c r="C22" s="9"/>
      <c r="D22" s="9"/>
      <c r="E22" s="92"/>
      <c r="F22" s="92"/>
      <c r="G22" s="92"/>
      <c r="H22" s="93"/>
      <c r="I22" s="12">
        <v>6.86</v>
      </c>
      <c r="J22" s="49">
        <f>I22*(G21+G23+1)*0.5</f>
        <v>11.908262920155003</v>
      </c>
      <c r="K22" s="10">
        <v>0</v>
      </c>
      <c r="L22" s="9">
        <f>(C21+F21+C23+F23)*0.25*(E21+E23)*0.5*I22</f>
        <v>6.6401314600775017</v>
      </c>
      <c r="M22" s="12">
        <f>(C21+C23)*0.5*I22</f>
        <v>4.8019999999999996</v>
      </c>
    </row>
    <row r="23" spans="1:13" x14ac:dyDescent="0.2">
      <c r="A23" s="13">
        <v>5</v>
      </c>
      <c r="B23" s="11" t="s">
        <v>95</v>
      </c>
      <c r="C23" s="9">
        <v>0.7</v>
      </c>
      <c r="D23" s="9">
        <f>D$9</f>
        <v>75</v>
      </c>
      <c r="E23" s="92">
        <v>1.1000000000000001</v>
      </c>
      <c r="F23" s="92">
        <f t="shared" ref="F23:F29" si="1">C23+2*E23/(TAN(D23*PI()/180))</f>
        <v>1.2894882233484699</v>
      </c>
      <c r="G23" s="92">
        <f t="shared" si="0"/>
        <v>1.2894882233484699</v>
      </c>
      <c r="H23" s="93">
        <f>+F23</f>
        <v>1.2894882233484699</v>
      </c>
      <c r="I23" s="94"/>
      <c r="J23" s="49"/>
      <c r="K23" s="10"/>
      <c r="L23" s="9"/>
      <c r="M23" s="12"/>
    </row>
    <row r="24" spans="1:13" x14ac:dyDescent="0.2">
      <c r="A24" s="13"/>
      <c r="B24" s="9"/>
      <c r="C24" s="9"/>
      <c r="D24" s="9"/>
      <c r="E24" s="92"/>
      <c r="F24" s="92"/>
      <c r="G24" s="92"/>
      <c r="H24" s="93"/>
      <c r="I24" s="94"/>
      <c r="J24" s="49"/>
      <c r="K24" s="10"/>
      <c r="L24" s="9"/>
      <c r="M24" s="12"/>
    </row>
    <row r="25" spans="1:13" x14ac:dyDescent="0.2">
      <c r="A25" s="13"/>
      <c r="B25" s="9"/>
      <c r="C25" s="9"/>
      <c r="D25" s="9"/>
      <c r="E25" s="92"/>
      <c r="F25" s="92"/>
      <c r="G25" s="92"/>
      <c r="H25" s="93"/>
      <c r="I25" s="12"/>
      <c r="J25" s="49"/>
      <c r="K25" s="10"/>
      <c r="L25" s="9"/>
      <c r="M25" s="12"/>
    </row>
    <row r="26" spans="1:13" x14ac:dyDescent="0.2">
      <c r="C26" s="9"/>
      <c r="D26" s="9"/>
      <c r="E26" s="92"/>
      <c r="F26" s="92"/>
      <c r="G26" s="92"/>
      <c r="H26" s="93"/>
      <c r="I26" s="94"/>
      <c r="J26" s="49"/>
      <c r="K26" s="10"/>
      <c r="L26" s="9"/>
      <c r="M26" s="12"/>
    </row>
    <row r="27" spans="1:13" x14ac:dyDescent="0.2">
      <c r="A27" s="13">
        <v>0</v>
      </c>
      <c r="B27" s="11" t="s">
        <v>91</v>
      </c>
      <c r="C27" s="9">
        <v>0.7</v>
      </c>
      <c r="D27" s="9">
        <f>D$9</f>
        <v>75</v>
      </c>
      <c r="E27" s="92">
        <v>0.9</v>
      </c>
      <c r="F27" s="92">
        <f t="shared" si="1"/>
        <v>1.1823085463760208</v>
      </c>
      <c r="G27" s="92">
        <f t="shared" si="0"/>
        <v>1.1823085463760208</v>
      </c>
      <c r="H27" s="93">
        <f>+F27</f>
        <v>1.1823085463760208</v>
      </c>
      <c r="I27" s="94"/>
      <c r="J27" s="49"/>
      <c r="K27" s="10"/>
      <c r="L27" s="9">
        <v>1.1499999999999999</v>
      </c>
      <c r="M27" s="12"/>
    </row>
    <row r="28" spans="1:13" x14ac:dyDescent="0.2">
      <c r="A28" s="13"/>
      <c r="B28" s="50"/>
      <c r="C28" s="9"/>
      <c r="D28" s="9"/>
      <c r="E28" s="92"/>
      <c r="F28" s="92"/>
      <c r="G28" s="92"/>
      <c r="H28" s="93"/>
      <c r="I28" s="12">
        <v>8.15</v>
      </c>
      <c r="J28" s="49">
        <f>I28*(G27+G29+1)*0.5</f>
        <v>13.71081465296457</v>
      </c>
      <c r="K28" s="10">
        <v>0</v>
      </c>
      <c r="L28" s="9">
        <f>(C27+F27+C29+F29)*0.25*(E27+E29)*0.5*I28</f>
        <v>6.9033665938340558</v>
      </c>
      <c r="M28" s="12">
        <f>(C27+C29)*0.5*I28</f>
        <v>5.7050000000000001</v>
      </c>
    </row>
    <row r="29" spans="1:13" x14ac:dyDescent="0.2">
      <c r="A29" s="13">
        <v>6</v>
      </c>
      <c r="B29" s="11" t="s">
        <v>96</v>
      </c>
      <c r="C29" s="9">
        <v>0.7</v>
      </c>
      <c r="D29" s="9">
        <f>D$9</f>
        <v>75</v>
      </c>
      <c r="E29" s="92">
        <v>0.9</v>
      </c>
      <c r="F29" s="92">
        <f t="shared" si="1"/>
        <v>1.1823085463760208</v>
      </c>
      <c r="G29" s="92">
        <f t="shared" si="0"/>
        <v>1.1823085463760208</v>
      </c>
      <c r="H29" s="93">
        <f>+F29</f>
        <v>1.1823085463760208</v>
      </c>
      <c r="I29" s="94"/>
      <c r="J29" s="49"/>
      <c r="K29" s="10"/>
      <c r="L29" s="9"/>
      <c r="M29" s="12"/>
    </row>
    <row r="30" spans="1:13" ht="13.5" thickBot="1" x14ac:dyDescent="0.25">
      <c r="A30" s="13"/>
      <c r="B30" s="50"/>
      <c r="C30" s="9"/>
      <c r="D30" s="9"/>
      <c r="E30" s="92"/>
      <c r="F30" s="92"/>
      <c r="G30" s="92"/>
      <c r="H30" s="93"/>
      <c r="I30" s="94"/>
      <c r="J30" s="49"/>
      <c r="K30" s="10"/>
      <c r="L30" s="9"/>
      <c r="M30" s="12"/>
    </row>
    <row r="31" spans="1:13" ht="13.5" thickBot="1" x14ac:dyDescent="0.25">
      <c r="A31" s="48">
        <f>+MAX(A11:A30)</f>
        <v>6</v>
      </c>
      <c r="B31" s="52"/>
      <c r="C31" s="23"/>
      <c r="D31" s="23"/>
      <c r="E31" s="95">
        <f>+SUM(E9:E30)/2+1</f>
        <v>6.5000000000000009</v>
      </c>
      <c r="F31" s="96"/>
      <c r="G31" s="96"/>
      <c r="H31" s="96"/>
      <c r="I31" s="97">
        <f>SUM(I9:I30)</f>
        <v>89.440000000000012</v>
      </c>
      <c r="J31" s="26">
        <f>SUM(J9:J30)</f>
        <v>41.731146832358803</v>
      </c>
      <c r="K31" s="24">
        <f>SUM(K9:K30)</f>
        <v>26.013436173776839</v>
      </c>
      <c r="L31" s="24">
        <f>SUM(L9:L30)</f>
        <v>97.203126661120479</v>
      </c>
      <c r="M31" s="25">
        <f>SUM(M9:M30)</f>
        <v>71.108999999999995</v>
      </c>
    </row>
    <row r="32" spans="1:13" ht="13.5" thickBot="1" x14ac:dyDescent="0.25">
      <c r="E32" s="98"/>
      <c r="I32" s="98"/>
      <c r="J32" s="5"/>
      <c r="K32" s="5"/>
      <c r="L32" s="5"/>
      <c r="M32" s="5"/>
    </row>
    <row r="33" spans="1:13" x14ac:dyDescent="0.2">
      <c r="E33" s="98"/>
      <c r="H33" s="297" t="s">
        <v>81</v>
      </c>
      <c r="I33" s="298"/>
      <c r="J33" s="298"/>
      <c r="K33" s="110"/>
      <c r="L33" s="111">
        <f>+J31*0.1</f>
        <v>4.1731146832358803</v>
      </c>
      <c r="M33" s="29" t="s">
        <v>37</v>
      </c>
    </row>
    <row r="34" spans="1:13" x14ac:dyDescent="0.2">
      <c r="H34" s="302" t="s">
        <v>58</v>
      </c>
      <c r="I34" s="303"/>
      <c r="J34" s="303"/>
      <c r="K34" s="108">
        <v>0.7</v>
      </c>
      <c r="L34" s="107">
        <f>L31*K34</f>
        <v>68.042188662784326</v>
      </c>
      <c r="M34" s="109" t="s">
        <v>37</v>
      </c>
    </row>
    <row r="35" spans="1:13" x14ac:dyDescent="0.2">
      <c r="A35" s="5" t="s">
        <v>39</v>
      </c>
      <c r="B35" s="5"/>
      <c r="H35" s="105" t="s">
        <v>50</v>
      </c>
      <c r="I35" s="27"/>
      <c r="J35" s="27"/>
      <c r="K35" s="28">
        <v>0.3</v>
      </c>
      <c r="L35" s="27">
        <f>L31*K35</f>
        <v>29.160937998336141</v>
      </c>
      <c r="M35" s="15" t="s">
        <v>37</v>
      </c>
    </row>
    <row r="36" spans="1:13" x14ac:dyDescent="0.2">
      <c r="C36" s="2" t="s">
        <v>41</v>
      </c>
      <c r="H36" s="49"/>
      <c r="I36" s="9"/>
      <c r="J36" s="9"/>
      <c r="K36" s="9"/>
      <c r="L36" s="9"/>
      <c r="M36" s="12"/>
    </row>
    <row r="37" spans="1:13" x14ac:dyDescent="0.2">
      <c r="A37" s="2" t="s">
        <v>40</v>
      </c>
      <c r="C37" s="4" t="s">
        <v>15</v>
      </c>
      <c r="D37" s="4" t="s">
        <v>42</v>
      </c>
      <c r="E37" s="99" t="s">
        <v>15</v>
      </c>
      <c r="F37" s="99" t="s">
        <v>37</v>
      </c>
      <c r="H37" s="105" t="s">
        <v>82</v>
      </c>
      <c r="I37" s="27"/>
      <c r="J37" s="27"/>
      <c r="K37" s="28">
        <v>0.3</v>
      </c>
      <c r="L37" s="27">
        <f>K37*L34</f>
        <v>20.412656598835298</v>
      </c>
      <c r="M37" s="15" t="s">
        <v>37</v>
      </c>
    </row>
    <row r="38" spans="1:13" x14ac:dyDescent="0.2">
      <c r="C38" s="2">
        <v>0.2</v>
      </c>
      <c r="D38" s="2">
        <f>3.14*0.25*((C38*2+I43/1000)^2-(I43/1000)^2)</f>
        <v>0.37680000000000008</v>
      </c>
      <c r="E38" s="87">
        <f>I31</f>
        <v>89.440000000000012</v>
      </c>
      <c r="F38" s="87">
        <f>E38*D38</f>
        <v>33.700992000000014</v>
      </c>
      <c r="H38" s="105" t="s">
        <v>83</v>
      </c>
      <c r="I38" s="27"/>
      <c r="J38" s="27"/>
      <c r="K38" s="28">
        <v>0.7</v>
      </c>
      <c r="L38" s="27">
        <f>K38*L34</f>
        <v>47.629532063949028</v>
      </c>
      <c r="M38" s="15" t="s">
        <v>37</v>
      </c>
    </row>
    <row r="39" spans="1:13" x14ac:dyDescent="0.2">
      <c r="A39" s="2" t="s">
        <v>43</v>
      </c>
      <c r="H39" s="105"/>
      <c r="I39" s="27"/>
      <c r="J39" s="27"/>
      <c r="K39" s="9"/>
      <c r="L39" s="27"/>
      <c r="M39" s="12"/>
    </row>
    <row r="40" spans="1:13" ht="13.5" thickBot="1" x14ac:dyDescent="0.25">
      <c r="C40" s="4" t="s">
        <v>15</v>
      </c>
      <c r="D40" s="4" t="s">
        <v>44</v>
      </c>
      <c r="E40" s="106" t="s">
        <v>79</v>
      </c>
      <c r="F40" s="99" t="s">
        <v>37</v>
      </c>
      <c r="H40" s="304" t="s">
        <v>51</v>
      </c>
      <c r="I40" s="305"/>
      <c r="J40" s="305"/>
      <c r="K40" s="14"/>
      <c r="L40" s="30">
        <f>L38+L35+L33</f>
        <v>80.963584745521047</v>
      </c>
      <c r="M40" s="31" t="s">
        <v>37</v>
      </c>
    </row>
    <row r="41" spans="1:13" x14ac:dyDescent="0.2">
      <c r="C41" s="7">
        <v>0.2</v>
      </c>
      <c r="D41" s="7">
        <f>0.25*PI()*((2*C41+0.8)^2-0.8^2)</f>
        <v>0.62831853071795885</v>
      </c>
      <c r="E41" s="100">
        <f>+E31</f>
        <v>6.5000000000000009</v>
      </c>
      <c r="F41" s="100">
        <f>E41*D41</f>
        <v>4.0840704496667328</v>
      </c>
      <c r="G41" s="100"/>
    </row>
    <row r="42" spans="1:13" x14ac:dyDescent="0.2">
      <c r="C42" s="7"/>
      <c r="D42" s="7"/>
      <c r="E42" s="100"/>
      <c r="F42" s="100"/>
      <c r="H42" s="62" t="s">
        <v>40</v>
      </c>
    </row>
    <row r="43" spans="1:13" x14ac:dyDescent="0.2">
      <c r="C43" s="4"/>
      <c r="D43" s="7"/>
      <c r="E43" s="103"/>
      <c r="F43" s="99"/>
      <c r="G43" s="100"/>
      <c r="H43" s="101" t="s">
        <v>76</v>
      </c>
      <c r="I43" s="102">
        <v>400</v>
      </c>
      <c r="J43" s="2">
        <f>+I31</f>
        <v>89.440000000000012</v>
      </c>
    </row>
    <row r="44" spans="1:13" x14ac:dyDescent="0.2">
      <c r="A44" s="5" t="s">
        <v>85</v>
      </c>
      <c r="B44" s="5"/>
      <c r="G44" s="100"/>
    </row>
    <row r="45" spans="1:13" x14ac:dyDescent="0.2">
      <c r="A45" s="5"/>
      <c r="B45" s="5"/>
      <c r="C45" s="4" t="s">
        <v>15</v>
      </c>
      <c r="D45" s="4"/>
      <c r="E45" s="99" t="s">
        <v>15</v>
      </c>
      <c r="F45" s="99" t="s">
        <v>37</v>
      </c>
    </row>
    <row r="46" spans="1:13" x14ac:dyDescent="0.2">
      <c r="A46" s="2" t="s">
        <v>45</v>
      </c>
      <c r="F46" s="87">
        <f>L31</f>
        <v>97.203126661120479</v>
      </c>
    </row>
    <row r="47" spans="1:13" x14ac:dyDescent="0.2">
      <c r="A47" s="2" t="s">
        <v>40</v>
      </c>
      <c r="C47" s="2">
        <f>+((I43+30)/1000)^2*3.14/4</f>
        <v>0.14514649999999998</v>
      </c>
      <c r="E47" s="87">
        <f>I31</f>
        <v>89.440000000000012</v>
      </c>
      <c r="F47" s="87">
        <f>-C47*E47</f>
        <v>-12.981902960000001</v>
      </c>
    </row>
    <row r="48" spans="1:13" x14ac:dyDescent="0.2">
      <c r="A48" s="2" t="s">
        <v>47</v>
      </c>
      <c r="C48" s="2">
        <f>0.8^2*3.14/4</f>
        <v>0.50240000000000007</v>
      </c>
      <c r="E48" s="87">
        <f>E31</f>
        <v>6.5000000000000009</v>
      </c>
      <c r="F48" s="87">
        <f>+-E48*C48</f>
        <v>-3.2656000000000009</v>
      </c>
    </row>
    <row r="49" spans="1:7" x14ac:dyDescent="0.2">
      <c r="A49" s="2" t="s">
        <v>46</v>
      </c>
      <c r="C49" s="7"/>
      <c r="D49" s="7"/>
      <c r="E49" s="100"/>
      <c r="F49" s="100">
        <f>-F38-F41</f>
        <v>-37.785062449666746</v>
      </c>
    </row>
    <row r="50" spans="1:7" ht="13.5" thickBot="1" x14ac:dyDescent="0.25">
      <c r="A50" s="39" t="s">
        <v>80</v>
      </c>
      <c r="C50" s="6"/>
      <c r="D50" s="6"/>
      <c r="E50" s="104"/>
      <c r="F50" s="104">
        <f>-L37</f>
        <v>-20.412656598835298</v>
      </c>
    </row>
    <row r="51" spans="1:7" x14ac:dyDescent="0.2">
      <c r="A51" s="39" t="s">
        <v>84</v>
      </c>
      <c r="F51" s="98">
        <f>SUM(F46:F50)</f>
        <v>22.757904652618429</v>
      </c>
    </row>
    <row r="52" spans="1:7" x14ac:dyDescent="0.2">
      <c r="G52" s="100"/>
    </row>
    <row r="53" spans="1:7" x14ac:dyDescent="0.2">
      <c r="G53" s="100"/>
    </row>
  </sheetData>
  <mergeCells count="4">
    <mergeCell ref="H33:J33"/>
    <mergeCell ref="J4:M4"/>
    <mergeCell ref="H34:J34"/>
    <mergeCell ref="H40:J40"/>
  </mergeCells>
  <phoneticPr fontId="0" type="noConversion"/>
  <pageMargins left="0.43307086614173229" right="0.23622047244094491" top="0.28999999999999998" bottom="0.43307086614173229" header="0.19685039370078741" footer="0.19685039370078741"/>
  <pageSetup paperSize="9" scale="6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zoomScaleNormal="100" workbookViewId="0">
      <selection activeCell="L40" sqref="L40"/>
    </sheetView>
  </sheetViews>
  <sheetFormatPr defaultRowHeight="12.75" x14ac:dyDescent="0.2"/>
  <cols>
    <col min="1" max="1" width="13.85546875" style="167" customWidth="1"/>
    <col min="2" max="2" width="27" style="167" customWidth="1"/>
    <col min="3" max="4" width="9.140625" style="167"/>
    <col min="5" max="5" width="11" style="167" customWidth="1"/>
    <col min="6" max="6" width="9.140625" style="167"/>
    <col min="7" max="7" width="9.28515625" style="167" customWidth="1"/>
    <col min="8" max="8" width="10.42578125" style="167" customWidth="1"/>
    <col min="9" max="16384" width="9.140625" style="167"/>
  </cols>
  <sheetData>
    <row r="1" spans="1:13" x14ac:dyDescent="0.2">
      <c r="A1" s="191"/>
      <c r="B1" s="191"/>
      <c r="C1" s="179"/>
      <c r="D1" s="179"/>
      <c r="E1" s="179"/>
      <c r="F1" s="179"/>
      <c r="G1" s="179"/>
      <c r="H1" s="179"/>
      <c r="I1" s="179"/>
      <c r="J1" s="179"/>
      <c r="K1" s="179"/>
      <c r="L1" s="179"/>
      <c r="M1" s="179"/>
    </row>
    <row r="2" spans="1:13" x14ac:dyDescent="0.2">
      <c r="A2" s="191"/>
      <c r="B2" s="191"/>
      <c r="C2" s="179"/>
      <c r="D2" s="179"/>
      <c r="E2" s="179"/>
      <c r="F2" s="179"/>
      <c r="G2" s="179"/>
      <c r="H2" s="179"/>
      <c r="I2" s="179"/>
      <c r="J2" s="179"/>
      <c r="K2" s="179"/>
      <c r="L2" s="179"/>
      <c r="M2" s="179"/>
    </row>
    <row r="3" spans="1:13" x14ac:dyDescent="0.2">
      <c r="A3" s="190"/>
      <c r="B3" s="190"/>
      <c r="C3" s="179"/>
      <c r="D3" s="179"/>
      <c r="E3" s="179"/>
      <c r="F3" s="179"/>
      <c r="G3" s="179"/>
      <c r="H3" s="179"/>
      <c r="I3" s="179"/>
      <c r="J3" s="179"/>
      <c r="K3" s="179"/>
      <c r="L3" s="179"/>
      <c r="M3" s="179"/>
    </row>
    <row r="4" spans="1:13" ht="18" x14ac:dyDescent="0.25">
      <c r="A4" s="196"/>
      <c r="C4" s="179"/>
      <c r="D4" s="179"/>
      <c r="E4" s="179"/>
      <c r="F4" s="179"/>
      <c r="G4" s="179"/>
      <c r="H4" s="179"/>
      <c r="I4" s="179"/>
      <c r="J4" s="179"/>
      <c r="K4" s="179"/>
      <c r="L4" s="179"/>
      <c r="M4" s="179"/>
    </row>
    <row r="5" spans="1:13" x14ac:dyDescent="0.2">
      <c r="C5" s="179"/>
      <c r="D5" s="179"/>
      <c r="E5" s="179"/>
      <c r="F5" s="179"/>
      <c r="G5" s="179"/>
      <c r="H5" s="179"/>
      <c r="I5" s="179"/>
      <c r="J5" s="179"/>
      <c r="K5" s="179"/>
      <c r="L5" s="179"/>
      <c r="M5" s="179"/>
    </row>
    <row r="6" spans="1:13" ht="15.75" x14ac:dyDescent="0.25">
      <c r="A6" s="195" t="s">
        <v>223</v>
      </c>
      <c r="C6" s="179"/>
      <c r="D6" s="179"/>
      <c r="E6" s="179"/>
      <c r="F6" s="179"/>
      <c r="G6" s="179"/>
      <c r="H6" s="179"/>
      <c r="I6" s="179"/>
      <c r="J6" s="179"/>
      <c r="K6" s="179"/>
      <c r="L6" s="179"/>
      <c r="M6" s="179"/>
    </row>
    <row r="7" spans="1:13" x14ac:dyDescent="0.2">
      <c r="C7" s="179"/>
      <c r="D7" s="179"/>
      <c r="E7" s="179"/>
      <c r="F7" s="179"/>
      <c r="G7" s="179"/>
      <c r="H7" s="179"/>
      <c r="I7" s="179"/>
      <c r="J7" s="179"/>
      <c r="K7" s="179"/>
      <c r="L7" s="179"/>
      <c r="M7" s="179"/>
    </row>
    <row r="8" spans="1:13" ht="15" x14ac:dyDescent="0.25">
      <c r="A8" s="194" t="s">
        <v>222</v>
      </c>
      <c r="C8" s="193" t="s">
        <v>131</v>
      </c>
      <c r="E8" s="179"/>
      <c r="F8" s="194" t="s">
        <v>221</v>
      </c>
      <c r="J8" s="179"/>
      <c r="K8" s="179"/>
      <c r="L8" s="193"/>
    </row>
    <row r="9" spans="1:13" x14ac:dyDescent="0.2">
      <c r="A9" s="167" t="s">
        <v>220</v>
      </c>
      <c r="B9" s="167" t="s">
        <v>219</v>
      </c>
      <c r="C9" s="179">
        <v>0.03</v>
      </c>
      <c r="D9" s="179" t="s">
        <v>131</v>
      </c>
      <c r="E9" s="193"/>
      <c r="F9" s="192" t="s">
        <v>218</v>
      </c>
      <c r="G9" s="179"/>
      <c r="H9" s="179"/>
      <c r="I9" s="179"/>
      <c r="J9" s="179">
        <v>0.6</v>
      </c>
      <c r="K9" s="179" t="s">
        <v>131</v>
      </c>
    </row>
    <row r="10" spans="1:13" x14ac:dyDescent="0.2">
      <c r="B10" s="167" t="s">
        <v>217</v>
      </c>
      <c r="C10" s="179">
        <v>0.5</v>
      </c>
      <c r="D10" s="179" t="s">
        <v>131</v>
      </c>
      <c r="E10" s="179"/>
      <c r="F10" s="192" t="s">
        <v>216</v>
      </c>
      <c r="G10" s="179"/>
      <c r="H10" s="179"/>
      <c r="I10" s="179"/>
      <c r="J10" s="179">
        <v>0.2</v>
      </c>
      <c r="K10" s="179" t="s">
        <v>131</v>
      </c>
    </row>
    <row r="11" spans="1:13" x14ac:dyDescent="0.2">
      <c r="B11" s="167" t="s">
        <v>215</v>
      </c>
      <c r="C11" s="179">
        <v>0.2</v>
      </c>
      <c r="D11" s="179" t="s">
        <v>131</v>
      </c>
      <c r="E11" s="179"/>
      <c r="F11" s="179"/>
      <c r="G11" s="179"/>
      <c r="H11" s="179"/>
      <c r="I11" s="179"/>
      <c r="J11" s="179"/>
      <c r="K11" s="179"/>
    </row>
    <row r="12" spans="1:13" x14ac:dyDescent="0.2">
      <c r="B12" s="167" t="s">
        <v>214</v>
      </c>
      <c r="C12" s="179">
        <v>0.3</v>
      </c>
      <c r="D12" s="179" t="s">
        <v>131</v>
      </c>
      <c r="E12" s="179"/>
      <c r="F12" s="179"/>
      <c r="G12" s="179"/>
      <c r="H12" s="179"/>
      <c r="I12" s="179"/>
      <c r="J12" s="179"/>
      <c r="K12" s="179"/>
    </row>
    <row r="13" spans="1:13" x14ac:dyDescent="0.2">
      <c r="E13" s="179"/>
      <c r="F13" s="179"/>
      <c r="G13" s="179"/>
      <c r="H13" s="179"/>
      <c r="I13" s="179"/>
      <c r="J13" s="179"/>
      <c r="K13" s="179"/>
    </row>
    <row r="14" spans="1:13" x14ac:dyDescent="0.2">
      <c r="C14" s="179"/>
      <c r="D14" s="179"/>
      <c r="E14" s="179"/>
      <c r="F14" s="179"/>
      <c r="G14" s="179"/>
      <c r="H14" s="179"/>
      <c r="I14" s="179"/>
    </row>
    <row r="15" spans="1:13" x14ac:dyDescent="0.2">
      <c r="C15" s="179"/>
      <c r="D15" s="179"/>
      <c r="E15" s="179"/>
      <c r="F15" s="179"/>
      <c r="G15" s="179"/>
      <c r="H15" s="179"/>
      <c r="J15" s="179"/>
      <c r="K15" s="179"/>
    </row>
    <row r="16" spans="1:13" x14ac:dyDescent="0.2">
      <c r="C16" s="179"/>
      <c r="D16" s="179"/>
      <c r="E16" s="179"/>
      <c r="F16" s="179"/>
      <c r="G16" s="179"/>
      <c r="H16" s="179"/>
      <c r="J16" s="179"/>
      <c r="K16" s="179"/>
    </row>
    <row r="17" spans="1:13" x14ac:dyDescent="0.2">
      <c r="C17" s="179"/>
      <c r="D17" s="179"/>
      <c r="E17" s="179"/>
      <c r="F17" s="179"/>
      <c r="G17" s="179"/>
      <c r="H17" s="179"/>
      <c r="J17" s="179"/>
      <c r="K17" s="179"/>
    </row>
    <row r="18" spans="1:13" x14ac:dyDescent="0.2">
      <c r="C18" s="191"/>
      <c r="D18" s="179"/>
      <c r="E18" s="179"/>
      <c r="F18" s="179"/>
      <c r="G18" s="179"/>
      <c r="H18" s="179"/>
      <c r="J18" s="179"/>
      <c r="K18" s="179"/>
    </row>
    <row r="19" spans="1:13" x14ac:dyDescent="0.2">
      <c r="C19" s="191"/>
      <c r="D19" s="179"/>
      <c r="E19" s="179"/>
      <c r="F19" s="179"/>
      <c r="G19" s="179"/>
      <c r="H19" s="179"/>
      <c r="J19" s="179"/>
      <c r="K19" s="179"/>
      <c r="L19" s="179"/>
      <c r="M19" s="179"/>
    </row>
    <row r="20" spans="1:13" x14ac:dyDescent="0.2">
      <c r="C20" s="191"/>
      <c r="D20" s="179"/>
      <c r="E20" s="179"/>
      <c r="F20" s="179"/>
      <c r="G20" s="179"/>
      <c r="H20" s="179"/>
      <c r="I20" s="179"/>
      <c r="J20" s="179"/>
      <c r="K20" s="179"/>
      <c r="L20" s="179"/>
      <c r="M20" s="179"/>
    </row>
    <row r="21" spans="1:13" x14ac:dyDescent="0.2">
      <c r="C21" s="191"/>
      <c r="D21" s="179"/>
      <c r="E21" s="179"/>
      <c r="F21" s="179"/>
      <c r="G21" s="179"/>
      <c r="H21" s="179"/>
      <c r="I21" s="179"/>
      <c r="J21" s="179"/>
      <c r="K21" s="179"/>
      <c r="L21" s="179"/>
      <c r="M21" s="179"/>
    </row>
    <row r="22" spans="1:13" x14ac:dyDescent="0.2">
      <c r="C22" s="190"/>
      <c r="D22" s="179"/>
    </row>
    <row r="24" spans="1:13" ht="50.25" customHeight="1" x14ac:dyDescent="0.2">
      <c r="A24" s="186"/>
      <c r="B24" s="189" t="s">
        <v>213</v>
      </c>
      <c r="C24" s="188" t="s">
        <v>212</v>
      </c>
      <c r="D24" s="188" t="s">
        <v>211</v>
      </c>
      <c r="E24" s="188" t="e">
        <f>#REF!</f>
        <v>#REF!</v>
      </c>
      <c r="F24" s="188" t="e">
        <f>#REF!</f>
        <v>#REF!</v>
      </c>
      <c r="G24" s="188" t="e">
        <f>#REF!</f>
        <v>#REF!</v>
      </c>
      <c r="H24" s="188" t="e">
        <f>#REF!</f>
        <v>#REF!</v>
      </c>
      <c r="I24" s="188" t="e">
        <f>#REF!</f>
        <v>#REF!</v>
      </c>
      <c r="J24" s="187" t="s">
        <v>209</v>
      </c>
      <c r="K24" s="187" t="s">
        <v>210</v>
      </c>
      <c r="L24" s="187" t="s">
        <v>209</v>
      </c>
    </row>
    <row r="25" spans="1:13" x14ac:dyDescent="0.2">
      <c r="A25" s="183">
        <v>1</v>
      </c>
      <c r="B25" s="186">
        <v>1</v>
      </c>
      <c r="C25" s="185">
        <v>68.13</v>
      </c>
      <c r="D25" s="185">
        <v>0</v>
      </c>
      <c r="E25" s="185">
        <v>28.61</v>
      </c>
      <c r="F25" s="185">
        <v>9.5399999999999991</v>
      </c>
      <c r="G25" s="185">
        <v>14.31</v>
      </c>
      <c r="H25" s="185">
        <v>0</v>
      </c>
      <c r="I25" s="185">
        <v>0</v>
      </c>
      <c r="J25" s="185">
        <v>34.07</v>
      </c>
      <c r="K25" s="185">
        <v>34.07</v>
      </c>
      <c r="L25" s="185">
        <v>0</v>
      </c>
    </row>
    <row r="26" spans="1:13" x14ac:dyDescent="0.2">
      <c r="A26" s="183"/>
      <c r="B26" s="186"/>
      <c r="C26" s="186"/>
      <c r="D26" s="186"/>
      <c r="E26" s="186"/>
      <c r="F26" s="186"/>
      <c r="G26" s="186"/>
      <c r="H26" s="186"/>
      <c r="I26" s="186"/>
      <c r="J26" s="186"/>
      <c r="K26" s="186"/>
      <c r="L26" s="186"/>
    </row>
    <row r="27" spans="1:13" x14ac:dyDescent="0.2">
      <c r="A27" s="186"/>
      <c r="B27" s="186"/>
      <c r="C27" s="181">
        <f t="shared" ref="C27:L27" si="0">SUM(C25:C25)</f>
        <v>68.13</v>
      </c>
      <c r="D27" s="181">
        <f t="shared" si="0"/>
        <v>0</v>
      </c>
      <c r="E27" s="181">
        <f t="shared" si="0"/>
        <v>28.61</v>
      </c>
      <c r="F27" s="181">
        <f t="shared" si="0"/>
        <v>9.5399999999999991</v>
      </c>
      <c r="G27" s="181">
        <f t="shared" si="0"/>
        <v>14.31</v>
      </c>
      <c r="H27" s="181">
        <f t="shared" si="0"/>
        <v>0</v>
      </c>
      <c r="I27" s="181">
        <f t="shared" si="0"/>
        <v>0</v>
      </c>
      <c r="J27" s="181">
        <f t="shared" si="0"/>
        <v>34.07</v>
      </c>
      <c r="K27" s="181">
        <f t="shared" si="0"/>
        <v>34.07</v>
      </c>
      <c r="L27" s="181">
        <f t="shared" si="0"/>
        <v>0</v>
      </c>
    </row>
    <row r="29" spans="1:13" x14ac:dyDescent="0.2">
      <c r="B29" s="186" t="s">
        <v>208</v>
      </c>
      <c r="C29" s="186"/>
      <c r="D29" s="183" t="s">
        <v>37</v>
      </c>
      <c r="E29" s="185">
        <f>E27*0.3/0.8</f>
        <v>10.72875</v>
      </c>
    </row>
    <row r="30" spans="1:13" x14ac:dyDescent="0.2">
      <c r="B30" s="186" t="s">
        <v>207</v>
      </c>
      <c r="C30" s="186"/>
      <c r="D30" s="183" t="s">
        <v>37</v>
      </c>
      <c r="E30" s="185">
        <f>E27-E29</f>
        <v>17.881250000000001</v>
      </c>
    </row>
    <row r="31" spans="1:13" ht="14.25" x14ac:dyDescent="0.2">
      <c r="B31" s="184" t="s">
        <v>206</v>
      </c>
      <c r="C31" s="183"/>
      <c r="D31" s="182" t="s">
        <v>37</v>
      </c>
      <c r="E31" s="181">
        <f>SUM(E29:E30)</f>
        <v>28.61</v>
      </c>
    </row>
    <row r="32" spans="1:13" ht="14.25" x14ac:dyDescent="0.2">
      <c r="B32" s="178"/>
      <c r="C32" s="169"/>
      <c r="D32" s="180"/>
      <c r="E32" s="168"/>
      <c r="F32" s="179"/>
    </row>
    <row r="33" spans="2:8" ht="14.25" x14ac:dyDescent="0.2">
      <c r="B33" s="178"/>
      <c r="C33" s="169"/>
      <c r="D33" s="180"/>
      <c r="E33" s="168"/>
    </row>
    <row r="34" spans="2:8" ht="14.25" x14ac:dyDescent="0.2">
      <c r="B34" s="178"/>
      <c r="C34" s="169"/>
      <c r="D34" s="180"/>
      <c r="E34" s="168"/>
    </row>
    <row r="35" spans="2:8" ht="14.25" x14ac:dyDescent="0.2">
      <c r="B35" s="178"/>
      <c r="C35" s="169"/>
      <c r="D35" s="180"/>
      <c r="E35" s="168"/>
      <c r="F35" s="179"/>
    </row>
    <row r="36" spans="2:8" ht="14.25" x14ac:dyDescent="0.2">
      <c r="B36" s="178"/>
      <c r="C36" s="169"/>
      <c r="D36" s="180"/>
      <c r="E36" s="168"/>
    </row>
    <row r="37" spans="2:8" ht="14.25" x14ac:dyDescent="0.2">
      <c r="B37" s="178"/>
      <c r="C37" s="169"/>
      <c r="D37" s="180"/>
      <c r="E37" s="168"/>
      <c r="F37" s="179"/>
    </row>
    <row r="38" spans="2:8" ht="14.25" x14ac:dyDescent="0.2">
      <c r="B38" s="178"/>
      <c r="C38" s="169"/>
      <c r="D38" s="180"/>
      <c r="E38" s="168"/>
      <c r="F38" s="179"/>
      <c r="G38" s="179"/>
      <c r="H38" s="179"/>
    </row>
    <row r="39" spans="2:8" ht="14.25" x14ac:dyDescent="0.2">
      <c r="B39" s="178"/>
      <c r="C39" s="169"/>
      <c r="D39" s="180"/>
      <c r="E39" s="168"/>
      <c r="F39" s="179"/>
      <c r="G39" s="179"/>
      <c r="H39" s="179"/>
    </row>
    <row r="40" spans="2:8" ht="15" x14ac:dyDescent="0.25">
      <c r="B40" s="178"/>
      <c r="C40" s="177"/>
      <c r="D40" s="176"/>
      <c r="E40" s="175"/>
    </row>
    <row r="41" spans="2:8" ht="15" x14ac:dyDescent="0.2">
      <c r="B41" s="174"/>
      <c r="C41" s="169"/>
    </row>
    <row r="42" spans="2:8" ht="15" x14ac:dyDescent="0.2">
      <c r="B42" s="174"/>
      <c r="C42" s="169"/>
      <c r="D42" s="169"/>
    </row>
    <row r="43" spans="2:8" ht="15" x14ac:dyDescent="0.2">
      <c r="B43" s="174"/>
      <c r="C43" s="169"/>
      <c r="D43" s="169"/>
    </row>
    <row r="44" spans="2:8" ht="15" x14ac:dyDescent="0.2">
      <c r="B44" s="174"/>
      <c r="C44" s="169"/>
      <c r="D44" s="169"/>
    </row>
    <row r="45" spans="2:8" ht="15" x14ac:dyDescent="0.2">
      <c r="B45" s="174"/>
      <c r="C45" s="169"/>
      <c r="D45" s="169"/>
    </row>
    <row r="46" spans="2:8" ht="15" x14ac:dyDescent="0.2">
      <c r="B46" s="174"/>
      <c r="C46" s="169"/>
      <c r="D46" s="169"/>
    </row>
    <row r="47" spans="2:8" ht="15" x14ac:dyDescent="0.2">
      <c r="B47" s="174"/>
      <c r="C47" s="169"/>
      <c r="D47" s="169"/>
    </row>
    <row r="48" spans="2:8" ht="15" x14ac:dyDescent="0.2">
      <c r="B48" s="174"/>
      <c r="C48" s="169"/>
      <c r="D48" s="169"/>
    </row>
  </sheetData>
  <pageMargins left="0.3" right="0.41" top="0.85" bottom="0.81" header="0.5" footer="0.5"/>
  <pageSetup paperSize="9" scale="96" orientation="landscape" r:id="rId1"/>
  <headerFooter alignWithMargins="0">
    <oddHeader>&amp;L3.1  Cestno omrežje&amp;CKoličine&amp;R&amp;P</oddHeader>
    <oddFooter>&amp;LNačrt št.: 201/01/CE/10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6</vt:i4>
      </vt:variant>
    </vt:vector>
  </HeadingPairs>
  <TitlesOfParts>
    <vt:vector size="13" baseType="lpstr">
      <vt:lpstr>Skupna rek</vt:lpstr>
      <vt:lpstr>1.faza-meteorna</vt:lpstr>
      <vt:lpstr>1.faza-drenaže</vt:lpstr>
      <vt:lpstr>1.faza-mulda</vt:lpstr>
      <vt:lpstr>2.faza-drenaže</vt:lpstr>
      <vt:lpstr>baza-meteorna kolicine</vt:lpstr>
      <vt:lpstr>baza-mulda kolicine</vt:lpstr>
      <vt:lpstr>'1.faza-drenaže'!Področje_tiskanja</vt:lpstr>
      <vt:lpstr>'1.faza-meteorna'!Področje_tiskanja</vt:lpstr>
      <vt:lpstr>'1.faza-mulda'!Področje_tiskanja</vt:lpstr>
      <vt:lpstr>'2.faza-drenaže'!Področje_tiskanja</vt:lpstr>
      <vt:lpstr>'baza-mulda kolicine'!Področje_tiskanja</vt:lpstr>
      <vt:lpstr>'Skupna rek'!Področje_tiskanja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brane</dc:creator>
  <cp:lastModifiedBy>Polajzar Bostjan</cp:lastModifiedBy>
  <cp:lastPrinted>2015-07-02T08:28:51Z</cp:lastPrinted>
  <dcterms:created xsi:type="dcterms:W3CDTF">2005-05-23T14:31:57Z</dcterms:created>
  <dcterms:modified xsi:type="dcterms:W3CDTF">2015-07-02T08:29:05Z</dcterms:modified>
</cp:coreProperties>
</file>