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is Krajnc\Documents\NALOŽBA IN\Občina LAŠKO\JAVNO NAROČILO 2021-2025\OSNOVE JN 2021-2025\Gradivo urejanje 26102020\ČISTOPIS 27112020\"/>
    </mc:Choice>
  </mc:AlternateContent>
  <xr:revisionPtr revIDLastSave="0" documentId="13_ncr:1_{E733AD52-1533-46AF-8A06-E242AA792E04}" xr6:coauthVersionLast="45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SKUPAJ" sheetId="1" r:id="rId1"/>
    <sheet name="LC in JP v Občini" sheetId="8" r:id="rId2"/>
    <sheet name="Infrastruktura" sheetId="9" r:id="rId3"/>
    <sheet name="Otroška Igrišča" sheetId="10" r:id="rId4"/>
    <sheet name="BUS postajališča" sheetId="11" r:id="rId5"/>
    <sheet name="Črpališča" sheetId="12" r:id="rId6"/>
    <sheet name="Javne prireditve" sheetId="14" r:id="rId7"/>
    <sheet name="Poslovni prostori" sheetId="15" r:id="rId8"/>
    <sheet name="Črpališča vodovod" sheetId="13" r:id="rId9"/>
  </sheets>
  <definedNames>
    <definedName name="_Hlk55468823" localSheetId="0">SKUPAJ!$C$2</definedName>
  </definedNames>
  <calcPr calcId="181029"/>
</workbook>
</file>

<file path=xl/calcChain.xml><?xml version="1.0" encoding="utf-8"?>
<calcChain xmlns="http://schemas.openxmlformats.org/spreadsheetml/2006/main">
  <c r="E104" i="1" l="1"/>
  <c r="W100" i="1"/>
  <c r="K100" i="1"/>
  <c r="L100" i="1"/>
  <c r="G100" i="1"/>
  <c r="E9" i="9" l="1"/>
  <c r="W8" i="1"/>
  <c r="W7" i="1" s="1"/>
  <c r="F72" i="1" l="1"/>
  <c r="I72" i="1"/>
  <c r="J72" i="1"/>
  <c r="K72" i="1"/>
  <c r="L72" i="1"/>
  <c r="F7" i="1"/>
  <c r="I62" i="13"/>
  <c r="H37" i="1" l="1"/>
  <c r="H40" i="1"/>
  <c r="H39" i="1"/>
  <c r="H38" i="1"/>
  <c r="H36" i="1"/>
  <c r="G25" i="1"/>
  <c r="G47" i="1"/>
  <c r="I62" i="1"/>
  <c r="H46" i="1" l="1"/>
  <c r="G46" i="1" s="1"/>
  <c r="H45" i="1"/>
  <c r="G45" i="1" s="1"/>
  <c r="H44" i="1"/>
  <c r="G44" i="1" s="1"/>
  <c r="H43" i="1"/>
  <c r="G43" i="1" s="1"/>
  <c r="H98" i="1"/>
  <c r="H50" i="1"/>
  <c r="W76" i="1" l="1"/>
  <c r="W72" i="1" s="1"/>
  <c r="H75" i="1"/>
  <c r="H21" i="1" l="1"/>
  <c r="G21" i="1" s="1"/>
  <c r="I8" i="1" l="1"/>
  <c r="I59" i="1"/>
  <c r="J59" i="1"/>
  <c r="K59" i="1"/>
  <c r="L59" i="1"/>
  <c r="H63" i="1"/>
  <c r="H62" i="1"/>
  <c r="H60" i="1"/>
  <c r="H61" i="1"/>
  <c r="H24" i="1"/>
  <c r="G24" i="1" s="1"/>
  <c r="H59" i="1" l="1"/>
  <c r="F97" i="1"/>
  <c r="I97" i="1"/>
  <c r="J97" i="1"/>
  <c r="K97" i="1"/>
  <c r="L97" i="1"/>
  <c r="F65" i="1"/>
  <c r="I65" i="1"/>
  <c r="J65" i="1"/>
  <c r="K65" i="1"/>
  <c r="F59" i="1"/>
  <c r="F49" i="1"/>
  <c r="I49" i="1"/>
  <c r="J49" i="1"/>
  <c r="F42" i="1"/>
  <c r="I42" i="1"/>
  <c r="J42" i="1"/>
  <c r="F35" i="1"/>
  <c r="I35" i="1"/>
  <c r="J35" i="1"/>
  <c r="K35" i="1"/>
  <c r="L35" i="1"/>
  <c r="K7" i="1"/>
  <c r="L7" i="1"/>
  <c r="J7" i="1"/>
  <c r="G60" i="1"/>
  <c r="G63" i="1"/>
  <c r="I7" i="1"/>
  <c r="E97" i="1" l="1"/>
  <c r="X97" i="1" s="1"/>
  <c r="E59" i="1" l="1"/>
  <c r="X59" i="1" s="1"/>
  <c r="E7" i="1"/>
  <c r="X7" i="1" s="1"/>
  <c r="G93" i="1" l="1"/>
  <c r="G94" i="1"/>
  <c r="C24" i="11"/>
  <c r="C29" i="11"/>
  <c r="C31" i="11" s="1"/>
  <c r="B30" i="11" l="1"/>
  <c r="E91" i="1" s="1"/>
  <c r="B29" i="11"/>
  <c r="E90" i="1" s="1"/>
  <c r="B28" i="11"/>
  <c r="E89" i="1" l="1"/>
  <c r="B31" i="11"/>
  <c r="K20" i="12"/>
  <c r="K10" i="12"/>
  <c r="K24" i="12" s="1"/>
  <c r="B24" i="11"/>
  <c r="F14" i="8"/>
  <c r="E14" i="8"/>
  <c r="D14" i="8"/>
  <c r="B14" i="8"/>
  <c r="H13" i="8" l="1"/>
  <c r="H14" i="8"/>
  <c r="H15" i="8" l="1"/>
  <c r="G85" i="1"/>
  <c r="E74" i="1" l="1"/>
  <c r="E72" i="1" s="1"/>
  <c r="G77" i="1"/>
  <c r="G78" i="1"/>
  <c r="G79" i="1"/>
  <c r="G80" i="1"/>
  <c r="G81" i="1"/>
  <c r="G82" i="1"/>
  <c r="G83" i="1"/>
  <c r="G84" i="1"/>
  <c r="G87" i="1"/>
  <c r="G88" i="1"/>
  <c r="G89" i="1"/>
  <c r="G90" i="1"/>
  <c r="G91" i="1"/>
  <c r="H76" i="1"/>
  <c r="G76" i="1" s="1"/>
  <c r="G75" i="1"/>
  <c r="H73" i="1"/>
  <c r="G61" i="1"/>
  <c r="X72" i="1" l="1"/>
  <c r="X100" i="1" s="1"/>
  <c r="E100" i="1"/>
  <c r="E102" i="1" s="1"/>
  <c r="H72" i="1"/>
  <c r="G73" i="1"/>
  <c r="G72" i="1" s="1"/>
  <c r="G22" i="1"/>
  <c r="G9" i="1"/>
  <c r="G11" i="1"/>
  <c r="G12" i="1"/>
  <c r="G13" i="1"/>
  <c r="G15" i="1"/>
  <c r="G23" i="1"/>
  <c r="H10" i="1"/>
  <c r="G10" i="1" s="1"/>
  <c r="H8" i="1"/>
  <c r="H7" i="1" l="1"/>
  <c r="G8" i="1"/>
  <c r="G7" i="1" s="1"/>
  <c r="G40" i="1"/>
  <c r="G39" i="1"/>
  <c r="G38" i="1"/>
  <c r="G36" i="1"/>
  <c r="G37" i="1" l="1"/>
  <c r="G35" i="1" s="1"/>
  <c r="H35" i="1"/>
  <c r="H55" i="1"/>
  <c r="G55" i="1" s="1"/>
  <c r="H70" i="1"/>
  <c r="G70" i="1" s="1"/>
  <c r="H69" i="1"/>
  <c r="G69" i="1" s="1"/>
  <c r="H68" i="1"/>
  <c r="G68" i="1" s="1"/>
  <c r="H67" i="1"/>
  <c r="G67" i="1" s="1"/>
  <c r="H66" i="1"/>
  <c r="H57" i="1"/>
  <c r="G57" i="1" s="1"/>
  <c r="H56" i="1"/>
  <c r="G56" i="1" s="1"/>
  <c r="H54" i="1"/>
  <c r="G54" i="1" s="1"/>
  <c r="H53" i="1"/>
  <c r="G53" i="1" s="1"/>
  <c r="H52" i="1"/>
  <c r="G51" i="1"/>
  <c r="G52" i="1" l="1"/>
  <c r="H49" i="1"/>
  <c r="G66" i="1"/>
  <c r="G65" i="1" s="1"/>
  <c r="H65" i="1"/>
  <c r="G50" i="1"/>
  <c r="G49" i="1" s="1"/>
  <c r="G42" i="1" l="1"/>
  <c r="H42" i="1"/>
  <c r="H97" i="1" l="1"/>
  <c r="G98" i="1"/>
  <c r="G97" i="1" s="1"/>
  <c r="G62" i="1" l="1"/>
  <c r="G59" i="1" s="1"/>
  <c r="E42" i="1" l="1"/>
  <c r="X42" i="1" s="1"/>
  <c r="E65" i="1" l="1"/>
  <c r="X65" i="1" s="1"/>
  <c r="E49" i="1" l="1"/>
  <c r="X49" i="1" s="1"/>
  <c r="E35" i="1"/>
  <c r="X3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Boris Krajnc</author>
  </authors>
  <commentList>
    <comment ref="L65" authorId="0" shapeId="0" xr:uid="{00000000-0006-0000-0000-000032000000}">
      <text>
        <r>
          <rPr>
            <b/>
            <sz val="9"/>
            <color indexed="81"/>
            <rFont val="Segoe UI"/>
            <family val="2"/>
            <charset val="238"/>
          </rPr>
          <t>Boris Krajnc:</t>
        </r>
        <r>
          <rPr>
            <sz val="9"/>
            <color indexed="81"/>
            <rFont val="Segoe UI"/>
            <family val="2"/>
            <charset val="238"/>
          </rPr>
          <t xml:space="preserve">
knjige po POP 2019 400.000 eur</t>
        </r>
      </text>
    </comment>
    <comment ref="V65" authorId="0" shapeId="0" xr:uid="{A8FD5CD7-85C5-4CF6-B837-97F9908616B0}">
      <text>
        <r>
          <rPr>
            <b/>
            <sz val="9"/>
            <color indexed="81"/>
            <rFont val="Segoe UI"/>
            <family val="2"/>
            <charset val="238"/>
          </rPr>
          <t>Boris Krajnc:</t>
        </r>
        <r>
          <rPr>
            <sz val="9"/>
            <color indexed="81"/>
            <rFont val="Segoe UI"/>
            <family val="2"/>
            <charset val="238"/>
          </rPr>
          <t xml:space="preserve">
mail MJ 11112020 sprememba iz 10 na 11</t>
        </r>
      </text>
    </comment>
  </commentList>
</comments>
</file>

<file path=xl/sharedStrings.xml><?xml version="1.0" encoding="utf-8"?>
<sst xmlns="http://schemas.openxmlformats.org/spreadsheetml/2006/main" count="859" uniqueCount="528">
  <si>
    <t xml:space="preserve">Št. </t>
  </si>
  <si>
    <t>OBJEKT</t>
  </si>
  <si>
    <t>1.</t>
  </si>
  <si>
    <t>3.</t>
  </si>
  <si>
    <t>4.</t>
  </si>
  <si>
    <t>OBČINA LAŠKO</t>
  </si>
  <si>
    <t xml:space="preserve"> 1. kategorija</t>
  </si>
  <si>
    <t xml:space="preserve"> 2. kategorija</t>
  </si>
  <si>
    <t xml:space="preserve"> 3. kategorija</t>
  </si>
  <si>
    <t>2.</t>
  </si>
  <si>
    <t>OŠ PRIMOŽA TRUBARJA LAŠKO</t>
  </si>
  <si>
    <t>PŠ Šentrupert</t>
  </si>
  <si>
    <t>OŠ RIMSKE TOPLICE</t>
  </si>
  <si>
    <t>VRTEC LAŠKO</t>
  </si>
  <si>
    <t>Vrtec Rimske Toplice</t>
  </si>
  <si>
    <t>Vrtec Laško</t>
  </si>
  <si>
    <t>Vrtec Zidani Most</t>
  </si>
  <si>
    <t>Vrtec Sedraž</t>
  </si>
  <si>
    <t>Vrtec Jurklošter</t>
  </si>
  <si>
    <t>Vrtec Debro</t>
  </si>
  <si>
    <t>Vrtec Rečica</t>
  </si>
  <si>
    <t>STIK LAŠKO</t>
  </si>
  <si>
    <t>5.</t>
  </si>
  <si>
    <t>6.</t>
  </si>
  <si>
    <t>KNJIŽNICA LAŠKO</t>
  </si>
  <si>
    <t>Knjižnica Laško, Aškerčev trg 4</t>
  </si>
  <si>
    <t>Knjižnica Jurklošter</t>
  </si>
  <si>
    <t>7.</t>
  </si>
  <si>
    <t>KOMUNALA LAŠKO</t>
  </si>
  <si>
    <t>Uprava</t>
  </si>
  <si>
    <t>Mrliška vežica Laško</t>
  </si>
  <si>
    <t>Mrliška vežica Sedraž</t>
  </si>
  <si>
    <t>Mrliška vežica Jurklošter</t>
  </si>
  <si>
    <t>Mrliška vežica Vrh</t>
  </si>
  <si>
    <t>Mrliška vežica Širje</t>
  </si>
  <si>
    <t>Mrliška vežica Rečica</t>
  </si>
  <si>
    <t>Zbirni center deponija Strensko</t>
  </si>
  <si>
    <t>Bivalni kontejner deponija Strensko</t>
  </si>
  <si>
    <t>8.</t>
  </si>
  <si>
    <t>NAHAJALIŠČE oz. NASLOV</t>
  </si>
  <si>
    <t>KNV</t>
  </si>
  <si>
    <t>ZV</t>
  </si>
  <si>
    <t>UMETNIŠKA DELA</t>
  </si>
  <si>
    <t xml:space="preserve">ZALOGE </t>
  </si>
  <si>
    <t>ODGOVORNOST</t>
  </si>
  <si>
    <t>STROJELOM</t>
  </si>
  <si>
    <t>Splošna in delodajalčeva</t>
  </si>
  <si>
    <t>Hišna in zemljiška posest</t>
  </si>
  <si>
    <t>Javne prireditve</t>
  </si>
  <si>
    <t>Javne površine</t>
  </si>
  <si>
    <t>Število zaposlenih</t>
  </si>
  <si>
    <t>Kartuzijska Pristava</t>
  </si>
  <si>
    <t xml:space="preserve">BUS postajališča </t>
  </si>
  <si>
    <t>Črpališča Laško</t>
  </si>
  <si>
    <t>Črpališča Rimske Toplice</t>
  </si>
  <si>
    <t>Kulturni center Laško</t>
  </si>
  <si>
    <t>Aškerčeva domačija</t>
  </si>
  <si>
    <t>Rimske Toplice</t>
  </si>
  <si>
    <t>Muzej Laško</t>
  </si>
  <si>
    <t>Knjižnica Laško</t>
  </si>
  <si>
    <t>Glasbena šola</t>
  </si>
  <si>
    <t>Valvasorjev trg 2</t>
  </si>
  <si>
    <t>GLASBENA ŠOLA LAŠKO-RADEČE</t>
  </si>
  <si>
    <t>Jurklošter 24</t>
  </si>
  <si>
    <t xml:space="preserve">Vodomerne postaja </t>
  </si>
  <si>
    <t>Po seznamu (1x)</t>
  </si>
  <si>
    <t>Stroji, aparati, naprave</t>
  </si>
  <si>
    <t>Mehanska oprema</t>
  </si>
  <si>
    <t>Knjižnica Zidani Most</t>
  </si>
  <si>
    <t>Knjižnica Šentrupert</t>
  </si>
  <si>
    <t>Mrliška vežica Rimske Toplice</t>
  </si>
  <si>
    <t>SKUPAJ</t>
  </si>
  <si>
    <t>OSNOVNA SREDSTVA po ZAVAROVANCIH</t>
  </si>
  <si>
    <t>Mestna ulica 2, , 3270 Laško</t>
  </si>
  <si>
    <t>P,V,K</t>
  </si>
  <si>
    <t>Mestna ul 11, 3270 Laško</t>
  </si>
  <si>
    <t>P</t>
  </si>
  <si>
    <t>Objekt -repetitorska postaja</t>
  </si>
  <si>
    <t>Laziše, 3272 Rimske Toplice</t>
  </si>
  <si>
    <t>Trg svobode 6, 3270 Laško</t>
  </si>
  <si>
    <t>Glavni most čez reko Savinjo</t>
  </si>
  <si>
    <t xml:space="preserve">Zidani Most 12 1432 Zidani Most </t>
  </si>
  <si>
    <t>Aškerčeva 6, 3272 Rimske Toplice</t>
  </si>
  <si>
    <t>Valvazorjev trg 1, 3270 Laško</t>
  </si>
  <si>
    <t>OŠ Laško -matična šola</t>
  </si>
  <si>
    <t>Trubarjeva ulica 20, , 3270 Laško</t>
  </si>
  <si>
    <t>PŠ Debro</t>
  </si>
  <si>
    <t>Poženelova ulica 26, , 3270 Laško</t>
  </si>
  <si>
    <t>PŠ Rečica</t>
  </si>
  <si>
    <t>Zgornja Rečica 26, 3270 Laško</t>
  </si>
  <si>
    <t>PŠ Vrh</t>
  </si>
  <si>
    <t>Vrh nad Laškim 20, 3270 Laško</t>
  </si>
  <si>
    <t>Šentrupert 89, 3271 Šentrupert</t>
  </si>
  <si>
    <t>OŠ Rimske Toplice -matična šola</t>
  </si>
  <si>
    <t>Aškerčeva cesta 1, 3272 Rimske Toplice</t>
  </si>
  <si>
    <t>PŠ Sedraž</t>
  </si>
  <si>
    <t>Sedraž 21, 3270 Laško</t>
  </si>
  <si>
    <t>PŠ Jurklošter</t>
  </si>
  <si>
    <t>Jurklošter 23, 3273 Jurklošter</t>
  </si>
  <si>
    <t>PŠ Zidani Most</t>
  </si>
  <si>
    <t>Zidani most 34, 1432 Zidani Most</t>
  </si>
  <si>
    <t>PŠ Laziše</t>
  </si>
  <si>
    <t>Laziše 29, 3272 Rimske Toplice</t>
  </si>
  <si>
    <t>Cesta na Svetino 2A, 3270 Laško</t>
  </si>
  <si>
    <t>Cankarjeva 14, 3271 Rimske Toplice</t>
  </si>
  <si>
    <t>Poženelova 24, 3270 Laško</t>
  </si>
  <si>
    <t>Aškerčev trg 5, 3270 Laško</t>
  </si>
  <si>
    <t>TIC Laško, Valvazorjev trg 1, 3270 Laško</t>
  </si>
  <si>
    <t xml:space="preserve"> Poženelova ulica 22, 3270 Laško</t>
  </si>
  <si>
    <t>Šentrupert 89, 3271 Šentruper</t>
  </si>
  <si>
    <t>V,K</t>
  </si>
  <si>
    <t>P,V</t>
  </si>
  <si>
    <t>V</t>
  </si>
  <si>
    <t>Podšmihel 1E</t>
  </si>
  <si>
    <t>100000/30000</t>
  </si>
  <si>
    <t>P -požarni alarmni sistem povezan z dežurnim centrom</t>
  </si>
  <si>
    <t xml:space="preserve">Opombe </t>
  </si>
  <si>
    <t>TEHNIČNO varovanje</t>
  </si>
  <si>
    <t>V -vlomske javljalne naprave povezane z dežurnim centrom</t>
  </si>
  <si>
    <t>K -avtomatske kamere za nadzor</t>
  </si>
  <si>
    <t>V, K</t>
  </si>
  <si>
    <t>Lokalne ceste</t>
  </si>
  <si>
    <t>tm</t>
  </si>
  <si>
    <t>Javne poti</t>
  </si>
  <si>
    <t>Zelenice</t>
  </si>
  <si>
    <r>
      <t>m</t>
    </r>
    <r>
      <rPr>
        <vertAlign val="superscript"/>
        <sz val="10"/>
        <rFont val="Arial"/>
        <family val="2"/>
        <charset val="238"/>
      </rPr>
      <t>2</t>
    </r>
  </si>
  <si>
    <t>Travniki in brežine</t>
  </si>
  <si>
    <t>Pločniki</t>
  </si>
  <si>
    <t>Parkirišča</t>
  </si>
  <si>
    <t>Odjemna mesta javne razsvetljave</t>
  </si>
  <si>
    <t>kom</t>
  </si>
  <si>
    <t>zap št.</t>
  </si>
  <si>
    <t xml:space="preserve">Lokacija </t>
  </si>
  <si>
    <t>Poženelova ulica</t>
  </si>
  <si>
    <t>K.o.Debro</t>
  </si>
  <si>
    <t>48/49</t>
  </si>
  <si>
    <t>K.o.Rečica</t>
  </si>
  <si>
    <t>Cesta v rečico 16</t>
  </si>
  <si>
    <t>1230/33</t>
  </si>
  <si>
    <t>Huda Jama</t>
  </si>
  <si>
    <t>K.o.Sedraž</t>
  </si>
  <si>
    <t>470/3</t>
  </si>
  <si>
    <t>Rimska cesta</t>
  </si>
  <si>
    <t>K.o.Laško</t>
  </si>
  <si>
    <t>246/21</t>
  </si>
  <si>
    <t>Taborje</t>
  </si>
  <si>
    <t>K.o.Reka</t>
  </si>
  <si>
    <t>124/2</t>
  </si>
  <si>
    <t>Strmca</t>
  </si>
  <si>
    <t>K.o.Šmihel</t>
  </si>
  <si>
    <t>513/3</t>
  </si>
  <si>
    <t>Marija Gradec</t>
  </si>
  <si>
    <t>Naziv osnovnega sredstva</t>
  </si>
  <si>
    <t>Nabavna vrednost/ZV</t>
  </si>
  <si>
    <t>nalet vozila na 1. riziko</t>
  </si>
  <si>
    <t>kategorija</t>
  </si>
  <si>
    <t>Avtobusno postajališče Zg. Rečica</t>
  </si>
  <si>
    <t>Avtobusno postajališče v Mišjem Dolu</t>
  </si>
  <si>
    <t>Avtobusno postajališče Huda Jama</t>
  </si>
  <si>
    <t>Avtobusno postajališče Debro (Lapornik smer za Laško)</t>
  </si>
  <si>
    <t>Avtobusno postajališče Rimske Toplice</t>
  </si>
  <si>
    <t>Avtobusno postajališče Rečica</t>
  </si>
  <si>
    <t>Avtobusno postajališče Zidani Most - Vila</t>
  </si>
  <si>
    <t>Avtobusno postajališče Zdravilišče Laško</t>
  </si>
  <si>
    <t>Avtobusno postajališče Reka (mlakar)</t>
  </si>
  <si>
    <t>Avtobusno postajališče OŠ Trubarjevo nabrežje</t>
  </si>
  <si>
    <t>Avtobusno postajališče Debro (za Celje)</t>
  </si>
  <si>
    <t>Avtobusno postajališče Rimske terme (stara pošta)</t>
  </si>
  <si>
    <t>zavarovanje temeljnih požarnih nevarnosti in nalet vozila</t>
  </si>
  <si>
    <t>prva kategorija</t>
  </si>
  <si>
    <t xml:space="preserve">druga kategorija </t>
  </si>
  <si>
    <t>tretja kategorija</t>
  </si>
  <si>
    <t>Z. ŠT.</t>
  </si>
  <si>
    <t>LAŠKO</t>
  </si>
  <si>
    <t>D.V.</t>
  </si>
  <si>
    <t>PROIZVAJALEC</t>
  </si>
  <si>
    <t>TIP ČRPALKE</t>
  </si>
  <si>
    <t>Q, H</t>
  </si>
  <si>
    <t>Nab.vred. 2 kom črpalk in regulacije</t>
  </si>
  <si>
    <t>Opomba</t>
  </si>
  <si>
    <t>črpališče Podšmihel</t>
  </si>
  <si>
    <t>FLYGT</t>
  </si>
  <si>
    <t>4 l/s; 6m</t>
  </si>
  <si>
    <t>Marija  Gradec</t>
  </si>
  <si>
    <t>ZENIT</t>
  </si>
  <si>
    <t>MAN 550/2/80 AOFT-E</t>
  </si>
  <si>
    <t>4 l/s; 25m</t>
  </si>
  <si>
    <t>Centralno črp. desnega brega (Rimska cesta)</t>
  </si>
  <si>
    <t>WILO</t>
  </si>
  <si>
    <t>WILO-EMU FA10.34E</t>
  </si>
  <si>
    <t>Centralno črp. pri Bezgovšku  (Trubarjevo nabrežje)</t>
  </si>
  <si>
    <t>črpališče 1.4 na Poženelovi ulici</t>
  </si>
  <si>
    <t>6,4 l/s; 5m</t>
  </si>
  <si>
    <t xml:space="preserve">črpališče 20 Radoblje </t>
  </si>
  <si>
    <t>FIPS</t>
  </si>
  <si>
    <t>FMC 75.5-2/145</t>
  </si>
  <si>
    <t>dobavljiv drug model</t>
  </si>
  <si>
    <t>RIMSKE TOPLICE</t>
  </si>
  <si>
    <t xml:space="preserve"> črpališče 14 na Zdraviliški ulici pri cvetličarni Marjetka</t>
  </si>
  <si>
    <t>KSB</t>
  </si>
  <si>
    <t>KRTF 80-250/252UG-S</t>
  </si>
  <si>
    <t>32,14 m3/h; 57,50 m</t>
  </si>
  <si>
    <t>črpališče 14.1 Poljane (Drnovšek)</t>
  </si>
  <si>
    <t>AMAREX NF 80-220/034ULG-150</t>
  </si>
  <si>
    <t>24,63 m3/h; 6,88 m</t>
  </si>
  <si>
    <t xml:space="preserve"> črpališče 15 v Cankarjevi ulici</t>
  </si>
  <si>
    <t>AMAREX NF 80-220/034ULG-180</t>
  </si>
  <si>
    <t>23 m3/h; 11,20 m</t>
  </si>
  <si>
    <t xml:space="preserve"> črpališče 15.1 na Završnikovi ulici</t>
  </si>
  <si>
    <t xml:space="preserve"> črpališče 16 pri marketu TUŠ</t>
  </si>
  <si>
    <t>ZENIT ITT</t>
  </si>
  <si>
    <t>100 TW 220 U 404 20-100</t>
  </si>
  <si>
    <t>20 m3/h</t>
  </si>
  <si>
    <t xml:space="preserve"> črpališče 18 pri bazenu</t>
  </si>
  <si>
    <t>LOWARA</t>
  </si>
  <si>
    <t>dobavljiv drug model!</t>
  </si>
  <si>
    <t xml:space="preserve"> črpališče Sevce</t>
  </si>
  <si>
    <t>FDL 86-21</t>
  </si>
  <si>
    <t>6,6 l/s; 25m</t>
  </si>
  <si>
    <t xml:space="preserve">  črp. pri žel. Postaji (tlačni kolektor RT-ČN Laško)</t>
  </si>
  <si>
    <t>KRT3F80-316/23 2UG-S</t>
  </si>
  <si>
    <t>47,15 m3/h; 59,74 m</t>
  </si>
  <si>
    <t>V vsakem črpališču sta dve črpalki za primer če ena odpove.</t>
  </si>
  <si>
    <t>Strensko</t>
  </si>
  <si>
    <t>Laško</t>
  </si>
  <si>
    <t>Sedraž</t>
  </si>
  <si>
    <t xml:space="preserve">Jurklošter  </t>
  </si>
  <si>
    <t>Vrh nad Laškim</t>
  </si>
  <si>
    <t>Širje</t>
  </si>
  <si>
    <t>Rečica</t>
  </si>
  <si>
    <t>Javne poti, lokalne ceste, zelene površine</t>
  </si>
  <si>
    <t>F -fizično varovanje</t>
  </si>
  <si>
    <t>OPREMA Računalniki</t>
  </si>
  <si>
    <t>OPREMA+DI SKUPAJ</t>
  </si>
  <si>
    <t>Drobni inventar</t>
  </si>
  <si>
    <t>Lahov Graben 6a, 3273 Jurklošter</t>
  </si>
  <si>
    <t>Objekt občinske uprave; Stavba 1 in 2</t>
  </si>
  <si>
    <t>Mestna ulica 16, 3270 Laško</t>
  </si>
  <si>
    <t>Senožete, 3272 Rimske Toplice</t>
  </si>
  <si>
    <t xml:space="preserve">Kislingerjeva hiša </t>
  </si>
  <si>
    <t>aškerčev trg 5, 3270 Laško</t>
  </si>
  <si>
    <t>Hiša Golež</t>
  </si>
  <si>
    <t>Cesta na Svetino 2, 3270 Laško</t>
  </si>
  <si>
    <t>Dvorana TRI LILIJE</t>
  </si>
  <si>
    <t xml:space="preserve">Laško otročji center </t>
  </si>
  <si>
    <t>Trubarjeva ul 13, 3270 Laško</t>
  </si>
  <si>
    <t>POTRES</t>
  </si>
  <si>
    <t>Nogometno igrišče</t>
  </si>
  <si>
    <t>Grad Tabor</t>
  </si>
  <si>
    <t>Poženelov aulica 22, 3270 Laško</t>
  </si>
  <si>
    <t>Huda jama 1, 3270 Laško</t>
  </si>
  <si>
    <t xml:space="preserve">    - reflektorji, omarice razdelilci</t>
  </si>
  <si>
    <t xml:space="preserve">   - ograja</t>
  </si>
  <si>
    <t>Zdraviliška cesta 47, 3272 RM</t>
  </si>
  <si>
    <t>Oddajanje sob v najem</t>
  </si>
  <si>
    <t>Fitnes oprema na prostem</t>
  </si>
  <si>
    <t>Rifengozd, 3270 Laško</t>
  </si>
  <si>
    <t xml:space="preserve">   ograja-zapornica mot pogon v 2020</t>
  </si>
  <si>
    <t>otroška igrala</t>
  </si>
  <si>
    <t>kanalizacijsko omrežje in vodovod</t>
  </si>
  <si>
    <t>TIC Rimske Toplice</t>
  </si>
  <si>
    <t>ČN Laško (Napravi  za sprejem grezničnih gošč)</t>
  </si>
  <si>
    <t>Kulturni dom Marija Gradec</t>
  </si>
  <si>
    <t>9.</t>
  </si>
  <si>
    <t>Poslovni prostor KS Sedraž</t>
  </si>
  <si>
    <t>Kraševčeva hiša muzej + 2 stanovanji</t>
  </si>
  <si>
    <t>Objekt stare komunale</t>
  </si>
  <si>
    <t>Trubarjevo nabrežje 9, 3270 Laško</t>
  </si>
  <si>
    <t>Poslovni prostor; Pasaričeva hiša</t>
  </si>
  <si>
    <t>Hotel Savinja -TIC Laško</t>
  </si>
  <si>
    <t xml:space="preserve">Dvorana Tri Lilije </t>
  </si>
  <si>
    <t>Pralna ploščad Strensko-Modrič</t>
  </si>
  <si>
    <t>po seznamu glej zavihek Javne poti, zelene površine</t>
  </si>
  <si>
    <t>Krajevna skupnost</t>
  </si>
  <si>
    <t>skupaj LC [m]</t>
  </si>
  <si>
    <t>Upravljalec</t>
  </si>
  <si>
    <t>skupaj JP [m]</t>
  </si>
  <si>
    <t>Upravljalec KS</t>
  </si>
  <si>
    <t>Upravljalec JKP</t>
  </si>
  <si>
    <t>Jurklošter</t>
  </si>
  <si>
    <t>JKP</t>
  </si>
  <si>
    <t>Šentrupert</t>
  </si>
  <si>
    <t>Zidani Most</t>
  </si>
  <si>
    <t>zavarovano preko Občina</t>
  </si>
  <si>
    <t>vzdrževanje cest in javnih poti, ki so v upravljanju pri KS</t>
  </si>
  <si>
    <t>zavarovana preko Komunala</t>
  </si>
  <si>
    <t xml:space="preserve">vzdrževanje in urejanje cest in javnih površin </t>
  </si>
  <si>
    <t>Poženelova ulica  480m2 (neograjeno, 2x stolp s toboganom, vrtiljak, gugalnice, peskovnik, 2x plezala, previsna gugalnica, 3x vzmetna gugalnica, koš za odpadke, 3x klop, podlaga trava)</t>
  </si>
  <si>
    <t>Cesta v Rečico 6  290m2 (neograjeno, stolp s toboganom, 2x gugalnica, peskovnik, 2x previsna gugalnica, koš za odpadke, 5x klop, podlaga trava in delno gramoz) -Cesta v Rečico sta dva igrišči eno na številki 6 in drugo na 16 –podatek o igralih velja za obe lokaciji.</t>
  </si>
  <si>
    <t>Cesta v Rečico 16 70m2 </t>
  </si>
  <si>
    <t xml:space="preserve">Huda Jama  130m2 (ograjeno z leseno ograjo, stolp s toboganom in plezalom, gugalnica, vzmetna gugalnica, koš za odpadke, 2x klop, podlaga trava)                           </t>
  </si>
  <si>
    <t xml:space="preserve">Rimska cesta  339m2 (ograjeno z leseno ograjo, stolp s toboganom, gugalnico in plezalom, plezalo kovinsko, peskovnik, previsna gugalnica, koš za odpadke, klop, podlaga delno lubje, ostalo trava)           </t>
  </si>
  <si>
    <t>Taborje   180m2 (neograjeno, stolp s toboganom, gugalnica, vzmetna gugalnica, koš za odpadke, podlaga trava in delno gramoz)</t>
  </si>
  <si>
    <t>Strmca   155m2 (ograjeno z žično ograjo, stolp s toboganom, gugalnica, vzmetna gugalnica, koš za odpadke, klop, podlaga trava in delno gramoz)</t>
  </si>
  <si>
    <t>Marija Gradec  160m2 (ograjeno z žično ograjo, stolp s toboganom in plezalom, dvojna gugalnica, vzmetna gugalnica, igralo za peskovnik, koš za odpadke, 2x klop, podlaga gramoz)</t>
  </si>
  <si>
    <t xml:space="preserve">Rimske toplice </t>
  </si>
  <si>
    <t>130m2</t>
  </si>
  <si>
    <t xml:space="preserve">delno ograjeno z žično ograjo, dvojna gugalnica, plezalo, vzmetno gugalo, trim mostiček, klop, podloga trava , guma </t>
  </si>
  <si>
    <t>Zidani most</t>
  </si>
  <si>
    <t>240m2</t>
  </si>
  <si>
    <t>ograjeno s panelno ograjo, peskovnik, dvojna gugalnica, vzmetno gugalo, igralo avtomobil, miza in klop 2x, koš za odpadke, podlaga trava, guma</t>
  </si>
  <si>
    <t>Lastnik igral je Občina Laško, upravljalec pa Komunala Laško.</t>
  </si>
  <si>
    <t>RM</t>
  </si>
  <si>
    <t>ZM</t>
  </si>
  <si>
    <t>Avtobusno postajališče Rimske Toplice - Šmarjeta Purg</t>
  </si>
  <si>
    <t>Avtobusno postajališče Dol pri Laškem</t>
  </si>
  <si>
    <t>lesena</t>
  </si>
  <si>
    <t xml:space="preserve">Avtobusno postajališče na Gorici (Šentrupert) </t>
  </si>
  <si>
    <t>Avtobusno postajališče Rečica - Kurji Graben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</si>
  <si>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</si>
  <si>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</si>
  <si>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</si>
  <si>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</si>
  <si>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</si>
  <si>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</si>
  <si>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</si>
  <si>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</si>
  <si>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</si>
  <si>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</si>
  <si>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1x</t>
  </si>
  <si>
    <t>2011,2020</t>
  </si>
  <si>
    <t>LOWARA, Grundfos</t>
  </si>
  <si>
    <t>po seznamu glej zavihek Otroška igrišča</t>
  </si>
  <si>
    <t>po seznamu glej zavihek BUS postajališča</t>
  </si>
  <si>
    <t>po seznamu glej zavihek Črpališča</t>
  </si>
  <si>
    <t>površina v m2</t>
  </si>
  <si>
    <t>290+70</t>
  </si>
  <si>
    <t>Po seznamu (17x)</t>
  </si>
  <si>
    <r>
      <t>Vsa BUS</t>
    </r>
    <r>
      <rPr>
        <sz val="10"/>
        <color rgb="FF1F497D"/>
        <rFont val="Calibri"/>
        <family val="2"/>
        <charset val="238"/>
        <scheme val="minor"/>
      </rPr>
      <t xml:space="preserve"> postajališča so grajena iz kovinske konstrukcije, kritina je iz umetne mase, stranice iz prosojne umetne mase (pleksi steklo), razen Dol pri Laškem, ki je leseno </t>
    </r>
  </si>
  <si>
    <t>17x</t>
  </si>
  <si>
    <t>19x</t>
  </si>
  <si>
    <t>število</t>
  </si>
  <si>
    <t>nalet vozila skupaj</t>
  </si>
  <si>
    <t>TPN skupaj</t>
  </si>
  <si>
    <t>Vodovodno omrežje</t>
  </si>
  <si>
    <t xml:space="preserve">Kanalizacijsko omrežje </t>
  </si>
  <si>
    <t>km</t>
  </si>
  <si>
    <t>Hidrantno omežje</t>
  </si>
  <si>
    <t>P,V, K</t>
  </si>
  <si>
    <t>P, V</t>
  </si>
  <si>
    <t>Sindikalni dom KS Rečica</t>
  </si>
  <si>
    <t>Športna dvorana-strelišče KS Sedraž</t>
  </si>
  <si>
    <t>K.o. Rimske Toplice</t>
  </si>
  <si>
    <t>K.o. Širje</t>
  </si>
  <si>
    <t>1729/2</t>
  </si>
  <si>
    <t>F</t>
  </si>
  <si>
    <t>Strensko Modrič</t>
  </si>
  <si>
    <t>Reka 32, 3270 Laško</t>
  </si>
  <si>
    <t>Modrič 8, 3270 Laško</t>
  </si>
  <si>
    <t>Črpališča vodovodno omrežje -po seznamu</t>
  </si>
  <si>
    <t>Po seznamu glej zavihek Črpališča vodovod</t>
  </si>
  <si>
    <t>9628, 963/1</t>
  </si>
  <si>
    <t>K. o. Paneče</t>
  </si>
  <si>
    <t>1577/1</t>
  </si>
  <si>
    <t>K. o. Vrh nad Laškim</t>
  </si>
  <si>
    <t>*174</t>
  </si>
  <si>
    <t>230 m2</t>
  </si>
  <si>
    <t xml:space="preserve">Stolp LAVANA XXL, previsna gugalnica MONTANA, vzmento otroško gugalo KONJ, gugalnica KOŠARA </t>
  </si>
  <si>
    <t>Priprava hrane in pijače</t>
  </si>
  <si>
    <t>Večnamenski objekt -GD  Rimske Toplice</t>
  </si>
  <si>
    <t>20.</t>
  </si>
  <si>
    <t>21.</t>
  </si>
  <si>
    <t>22.</t>
  </si>
  <si>
    <t>23.</t>
  </si>
  <si>
    <t>24.</t>
  </si>
  <si>
    <t>25.</t>
  </si>
  <si>
    <t>Vrtec Vrh</t>
  </si>
  <si>
    <t>Hotel Savinja in TIC Laško</t>
  </si>
  <si>
    <t>Otroška igrišča 10x (po seznamu)</t>
  </si>
  <si>
    <t xml:space="preserve">Tehnično in fizično varovanje </t>
  </si>
  <si>
    <t>ČN Laško (Naprava  za sprejem grezničnih gošč)</t>
  </si>
  <si>
    <t>NOGGERATH</t>
  </si>
  <si>
    <t>NSI FA 500 S</t>
  </si>
  <si>
    <t>Kraševčeva hiša, muzej + 2 stanovanja 513,8 m2</t>
  </si>
  <si>
    <t>Bivša PŠ Reka 544,8 m2 </t>
  </si>
  <si>
    <t>Javne prireditve za JN 2021</t>
  </si>
  <si>
    <t>Avtobusna postajališča za JN 2021</t>
  </si>
  <si>
    <t>Otroška igrišča za JN 2021</t>
  </si>
  <si>
    <t>Poslovni prostori za JN 2021</t>
  </si>
  <si>
    <t>Lokacija</t>
  </si>
  <si>
    <t>431 m2</t>
  </si>
  <si>
    <t>površina</t>
  </si>
  <si>
    <t>4788 m2</t>
  </si>
  <si>
    <t>210 m2</t>
  </si>
  <si>
    <t>194 m2</t>
  </si>
  <si>
    <t>919,4 m2</t>
  </si>
  <si>
    <t>Dom svobode Zidani most</t>
  </si>
  <si>
    <t>639 m2</t>
  </si>
  <si>
    <t>374 m2</t>
  </si>
  <si>
    <t>513,8 m2</t>
  </si>
  <si>
    <t>544,8 m2</t>
  </si>
  <si>
    <t>782 m2</t>
  </si>
  <si>
    <t>287 m2</t>
  </si>
  <si>
    <t>100 m2</t>
  </si>
  <si>
    <t>3256 m2</t>
  </si>
  <si>
    <t>6652 m2</t>
  </si>
  <si>
    <t>Kartuzijska Pristava Jurklošter 210 m2</t>
  </si>
  <si>
    <t>Muzej Laško 431 m2</t>
  </si>
  <si>
    <t>Dvorana Tri Lilije 4788 m2</t>
  </si>
  <si>
    <t>Aškerčeva domačija 194 m2</t>
  </si>
  <si>
    <t>Laško otročji center površina 230 m2</t>
  </si>
  <si>
    <t>Hotel Savinja površina lokal 374 m2</t>
  </si>
  <si>
    <t>Sindikalni dom KS Rečica 782 m2</t>
  </si>
  <si>
    <t>Poslovni prostori KS Sedraž 287 m2</t>
  </si>
  <si>
    <t>Športna dvorana -strelišče KS Sedraž 100 m2</t>
  </si>
  <si>
    <t>Grad Tabor 3256 m2</t>
  </si>
  <si>
    <t>Nogometno igrišče Huda jama 6652 m2</t>
  </si>
  <si>
    <t>Kulturni dom Marija Gradec 210 m2</t>
  </si>
  <si>
    <t>Bivša PŠ Reka</t>
  </si>
  <si>
    <t>Večnamenski objekt -GD Rimske Toplice 919,4 m2 </t>
  </si>
  <si>
    <t>Zaporedna št.</t>
  </si>
  <si>
    <t>ČRPALIŠČE - IME</t>
  </si>
  <si>
    <t>ŠT. INSTALIRANIH ČRPALK</t>
  </si>
  <si>
    <t>SKUPNA MOČ INSTALIRANIH ČRPALK [kW]</t>
  </si>
  <si>
    <t>Tip vgrajenih črpalk</t>
  </si>
  <si>
    <t>Nabavna vrednost črpalk in elektro krmilne opreme</t>
  </si>
  <si>
    <t>Petek</t>
  </si>
  <si>
    <r>
      <t>1665</t>
    </r>
    <r>
      <rPr>
        <i/>
        <sz val="11"/>
        <color theme="1"/>
        <rFont val="Arial"/>
        <family val="2"/>
        <charset val="238"/>
      </rPr>
      <t xml:space="preserve"> (V01)</t>
    </r>
  </si>
  <si>
    <t>2 x elektrokovina VCV150/12T (7,5 kw)</t>
  </si>
  <si>
    <t>2x elektrokovina</t>
  </si>
  <si>
    <t>VCV 100/4T (2,7kw)</t>
  </si>
  <si>
    <t>Albreht</t>
  </si>
  <si>
    <t>1x elektrokovina</t>
  </si>
  <si>
    <t>VCV 100/6T (3kw)</t>
  </si>
  <si>
    <t>/</t>
  </si>
  <si>
    <t>Grad spodnji</t>
  </si>
  <si>
    <t>VCV 250/7T (7,5kw)</t>
  </si>
  <si>
    <t>Pristava spodnji</t>
  </si>
  <si>
    <t>VCV 104 S (2,7kw)</t>
  </si>
  <si>
    <t>Lahomno Železnik</t>
  </si>
  <si>
    <t>elektrokovina</t>
  </si>
  <si>
    <t>VCV 50/10T (2,7kw)</t>
  </si>
  <si>
    <t>VCV 50/10S (2,7kw)</t>
  </si>
  <si>
    <t>Bačič</t>
  </si>
  <si>
    <t>VCV 150/6T (4kw)</t>
  </si>
  <si>
    <t>Pirc</t>
  </si>
  <si>
    <t xml:space="preserve"> elektrokovina</t>
  </si>
  <si>
    <t>VCV 150/8T (5,5kw)</t>
  </si>
  <si>
    <t>VCV 100/8T (4kw)</t>
  </si>
  <si>
    <t>Klinar</t>
  </si>
  <si>
    <t>VC 150/12T (7,5kw)</t>
  </si>
  <si>
    <t>Trojno</t>
  </si>
  <si>
    <t>2x Grundfos</t>
  </si>
  <si>
    <t>CR 8-60 (2,2kw)</t>
  </si>
  <si>
    <t>Kobivjek</t>
  </si>
  <si>
    <t>2x Grundfos CR3 17AAAE-HQQE (1,5KW)</t>
  </si>
  <si>
    <t xml:space="preserve">Zalipno </t>
  </si>
  <si>
    <r>
      <t>1665</t>
    </r>
    <r>
      <rPr>
        <i/>
        <sz val="11"/>
        <color theme="1"/>
        <rFont val="Arial"/>
        <family val="2"/>
        <charset val="238"/>
      </rPr>
      <t xml:space="preserve"> (V013)</t>
    </r>
  </si>
  <si>
    <t>Lowara 1OV25FO15T/D</t>
  </si>
  <si>
    <t>(1,5 KW)</t>
  </si>
  <si>
    <t>Rudnik</t>
  </si>
  <si>
    <t>VC 50-160/2 /11kw)</t>
  </si>
  <si>
    <t>AEG</t>
  </si>
  <si>
    <t>AM 160 M02 (18kw)</t>
  </si>
  <si>
    <t>Lurd</t>
  </si>
  <si>
    <t>PC 4-20 (3kw)</t>
  </si>
  <si>
    <t>Majland – Zidani Most</t>
  </si>
  <si>
    <t>1665 (V013)</t>
  </si>
  <si>
    <t>Grundfos MQ-35 (0,6KW)</t>
  </si>
  <si>
    <t xml:space="preserve">Elektrokovina </t>
  </si>
  <si>
    <t>VCV 50/10T (2,7 KW)</t>
  </si>
  <si>
    <t>Male Grahovše</t>
  </si>
  <si>
    <r>
      <t>1665</t>
    </r>
    <r>
      <rPr>
        <i/>
        <sz val="11"/>
        <color theme="1"/>
        <rFont val="Arial"/>
        <family val="2"/>
        <charset val="238"/>
      </rPr>
      <t xml:space="preserve"> (V04)</t>
    </r>
  </si>
  <si>
    <t>Elektrokovina</t>
  </si>
  <si>
    <t>Trate</t>
  </si>
  <si>
    <t xml:space="preserve">2x Elektrokovina </t>
  </si>
  <si>
    <t>VCV 50/12S (3 KW)</t>
  </si>
  <si>
    <t>Globočaj</t>
  </si>
  <si>
    <t>VCV 100/8T (4 KW)</t>
  </si>
  <si>
    <t>Brstovnica</t>
  </si>
  <si>
    <r>
      <t>1665</t>
    </r>
    <r>
      <rPr>
        <i/>
        <sz val="11"/>
        <color theme="1"/>
        <rFont val="Arial"/>
        <family val="2"/>
        <charset val="238"/>
      </rPr>
      <t xml:space="preserve"> (V05)</t>
    </r>
  </si>
  <si>
    <t>Grundfos</t>
  </si>
  <si>
    <t>CR 16-140  (16kw)</t>
  </si>
  <si>
    <t>Lože</t>
  </si>
  <si>
    <t>VCV 50/12T (3kw)</t>
  </si>
  <si>
    <r>
      <t>1665</t>
    </r>
    <r>
      <rPr>
        <i/>
        <sz val="11"/>
        <color theme="1"/>
        <rFont val="Arial"/>
        <family val="2"/>
        <charset val="238"/>
      </rPr>
      <t xml:space="preserve"> (V08)</t>
    </r>
  </si>
  <si>
    <t>Poreber - Mrzlek</t>
  </si>
  <si>
    <r>
      <t>1665</t>
    </r>
    <r>
      <rPr>
        <i/>
        <sz val="11"/>
        <color theme="1"/>
        <rFont val="Arial"/>
        <family val="2"/>
        <charset val="238"/>
      </rPr>
      <t xml:space="preserve"> (V11)</t>
    </r>
  </si>
  <si>
    <t>Grundfos A9651625 7P 10726 (1,5 KW)</t>
  </si>
  <si>
    <t>Trije studenci</t>
  </si>
  <si>
    <t>PC 4-28 (3kw)</t>
  </si>
  <si>
    <t>Lowara Z 612-11+L6W (5,5KW) -D</t>
  </si>
  <si>
    <t>Brezno</t>
  </si>
  <si>
    <r>
      <t>1665</t>
    </r>
    <r>
      <rPr>
        <i/>
        <sz val="11"/>
        <color theme="1"/>
        <rFont val="Arial"/>
        <family val="2"/>
        <charset val="238"/>
      </rPr>
      <t xml:space="preserve"> (V03)</t>
    </r>
  </si>
  <si>
    <t>ITT HV 3,2 – IF 120 dz (3,2 KW)</t>
  </si>
  <si>
    <t>Lažiše</t>
  </si>
  <si>
    <t>2x Lowara LLM9OB14 (2,2KW)</t>
  </si>
  <si>
    <t>Globoko</t>
  </si>
  <si>
    <t>Lowara 1OSV15FO55T (5,5 KW)</t>
  </si>
  <si>
    <t>Radoblje</t>
  </si>
  <si>
    <t>Jagoče</t>
  </si>
  <si>
    <t>VCV 105 S (3 KW)</t>
  </si>
  <si>
    <t>Šmohor</t>
  </si>
  <si>
    <r>
      <t>1665</t>
    </r>
    <r>
      <rPr>
        <i/>
        <sz val="11"/>
        <color theme="1"/>
        <rFont val="Arial"/>
        <family val="2"/>
        <charset val="238"/>
      </rPr>
      <t xml:space="preserve"> (V012)</t>
    </r>
  </si>
  <si>
    <t>Elektrokovina VCV 55T</t>
  </si>
  <si>
    <t>1665 (V01)</t>
  </si>
  <si>
    <t>VCV 50/7T (3kw)</t>
  </si>
  <si>
    <t>Leše – Velike Grahovše</t>
  </si>
  <si>
    <t>1665 (V04)</t>
  </si>
  <si>
    <t>VCV 50/12S (3kw)</t>
  </si>
  <si>
    <t>Jesenova Ravan</t>
  </si>
  <si>
    <t>1665 (V05)</t>
  </si>
  <si>
    <t>SEZNAM ČRPALIŠČ IN ČRPALK VODOVOD za JN 2021-2025</t>
  </si>
  <si>
    <t>Knjižnica Rimske Toplice -večnamenski dom</t>
  </si>
  <si>
    <t>OPREMA Stroji in naprave, lesena oprema, brez računalnikov</t>
  </si>
  <si>
    <t>Leto</t>
  </si>
  <si>
    <t>ID Vodovodnega sistema</t>
  </si>
  <si>
    <t>Dom svobode s prizidkom -Gasilski dom</t>
  </si>
  <si>
    <t>Marija Gradec 29, 3270 LAŠKO</t>
  </si>
  <si>
    <t>Sedraž 22, 3270 Laško</t>
  </si>
  <si>
    <t>Sedraž 22A, 3270 Laško</t>
  </si>
  <si>
    <t>SEZNAM ČRPALIŠČ IN ČRPALK za JN 2021</t>
  </si>
  <si>
    <t>Javne poti, lokalne ceste, zelene površine, pločniki, parkirišča, … za JN 2021</t>
  </si>
  <si>
    <t>Lokalne ceste in Javne poti za JN 2021</t>
  </si>
  <si>
    <r>
      <rPr>
        <b/>
        <sz val="11"/>
        <color theme="1"/>
        <rFont val="Calibri"/>
        <family val="2"/>
        <charset val="238"/>
        <scheme val="minor"/>
      </rPr>
      <t>Kulturni center</t>
    </r>
    <r>
      <rPr>
        <sz val="11"/>
        <color theme="1"/>
        <rFont val="Calibri"/>
        <family val="2"/>
        <charset val="238"/>
        <scheme val="minor"/>
      </rPr>
      <t>: do 260 udeležencev; koncerti, gledališke predstave in podobne prireditve; število prireditev letno: 120</t>
    </r>
  </si>
  <si>
    <r>
      <rPr>
        <b/>
        <sz val="11"/>
        <color theme="1"/>
        <rFont val="Calibri"/>
        <family val="2"/>
        <charset val="238"/>
        <scheme val="minor"/>
      </rPr>
      <t>Športna dvorana Tri lilije</t>
    </r>
    <r>
      <rPr>
        <sz val="11"/>
        <color theme="1"/>
        <rFont val="Calibri"/>
        <family val="2"/>
        <charset val="238"/>
        <scheme val="minor"/>
      </rPr>
      <t>: do 700 udeležencev; koncerti in podobne prireditve, športne prireditve; število prireditev letno: 20</t>
    </r>
  </si>
  <si>
    <r>
      <rPr>
        <b/>
        <sz val="11"/>
        <color theme="1"/>
        <rFont val="Calibri"/>
        <family val="2"/>
        <charset val="238"/>
        <scheme val="minor"/>
      </rPr>
      <t>Kartuzija Jurklošter</t>
    </r>
    <r>
      <rPr>
        <sz val="11"/>
        <color theme="1"/>
        <rFont val="Calibri"/>
        <family val="2"/>
        <charset val="238"/>
        <scheme val="minor"/>
      </rPr>
      <t xml:space="preserve"> –objekt Pristava: do 70 udeležencev; literarni večeri, proslave in podobne prireditve; število prireditev letno: 12    </t>
    </r>
  </si>
  <si>
    <r>
      <rPr>
        <b/>
        <sz val="11"/>
        <color theme="1"/>
        <rFont val="Calibri"/>
        <family val="2"/>
        <charset val="238"/>
        <scheme val="minor"/>
      </rPr>
      <t>Aškerčeva domačija</t>
    </r>
    <r>
      <rPr>
        <sz val="11"/>
        <color theme="1"/>
        <rFont val="Calibri"/>
        <family val="2"/>
        <charset val="238"/>
        <scheme val="minor"/>
      </rPr>
      <t xml:space="preserve"> –objekt Pristava  : do 25 udeležencev; literarni večeri in podobne prireditve; število prireditev letno: 14-16 </t>
    </r>
  </si>
  <si>
    <r>
      <rPr>
        <b/>
        <sz val="11"/>
        <color theme="1"/>
        <rFont val="Calibri"/>
        <family val="2"/>
        <charset val="238"/>
        <scheme val="minor"/>
      </rPr>
      <t>Muzej Laško</t>
    </r>
    <r>
      <rPr>
        <sz val="11"/>
        <color theme="1"/>
        <rFont val="Calibri"/>
        <family val="2"/>
        <charset val="238"/>
        <scheme val="minor"/>
      </rPr>
      <t>: do 40 udeležencev; otvoritev razstav in podobne prireditve; število prireditev letno: 20</t>
    </r>
  </si>
  <si>
    <r>
      <rPr>
        <b/>
        <sz val="11"/>
        <color theme="1"/>
        <rFont val="Calibri"/>
        <family val="2"/>
        <charset val="238"/>
        <scheme val="minor"/>
      </rPr>
      <t>Otročji center</t>
    </r>
    <r>
      <rPr>
        <sz val="11"/>
        <color theme="1"/>
        <rFont val="Calibri"/>
        <family val="2"/>
        <charset val="238"/>
        <scheme val="minor"/>
      </rPr>
      <t>: do 70 udeležencev; predavanja in delavnice ter podobne prireditve; število prireditev letno: 20 </t>
    </r>
  </si>
  <si>
    <r>
      <rPr>
        <b/>
        <sz val="11"/>
        <color theme="1"/>
        <rFont val="Calibri"/>
        <family val="2"/>
        <charset val="238"/>
        <scheme val="minor"/>
      </rPr>
      <t>Knjižnica Laško</t>
    </r>
    <r>
      <rPr>
        <sz val="11"/>
        <color theme="1"/>
        <rFont val="Calibri"/>
        <family val="2"/>
        <charset val="238"/>
        <scheme val="minor"/>
      </rPr>
      <t xml:space="preserve"> : do 50 obiskovalcev,  (literarni večeri, predavanja, delavnice, otvoritve razstav, pravljične ure, lutkovne predstave in podobne prireditve); število prireditev letno:  cca 60</t>
    </r>
  </si>
  <si>
    <r>
      <rPr>
        <b/>
        <sz val="11"/>
        <color theme="1"/>
        <rFont val="Calibri"/>
        <family val="2"/>
        <charset val="238"/>
        <scheme val="minor"/>
      </rPr>
      <t>Dvorani Večnamenskega doma v Rimskih Toplicah</t>
    </r>
    <r>
      <rPr>
        <sz val="11"/>
        <color theme="1"/>
        <rFont val="Calibri"/>
        <family val="2"/>
        <charset val="238"/>
        <scheme val="minor"/>
      </rPr>
      <t>: prireditve do 100 obiskovalcev,  (literarni večeri, predavanja, delavnice, otvoritve razstav, pravljične ure, lutkovne predstave in podobne prireditve); število prireditev letno: cca 15 </t>
    </r>
  </si>
  <si>
    <t>TPN</t>
  </si>
  <si>
    <t>ALL RISK</t>
  </si>
  <si>
    <t>POŽAR_ODG_RAČ_STROJL osnova za JN 2021</t>
  </si>
  <si>
    <t>Objekti, oprema, zaloge</t>
  </si>
  <si>
    <t>Vozila</t>
  </si>
  <si>
    <t xml:space="preserve">SKUPAJ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</si>
</sst>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0"/>
  </numFmts>
  <fonts count="5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0"/>
      <color rgb="FFFF0000"/>
      <name val="Calibri"/>
      <family val="2"/>
      <charset val="238"/>
    </font>
    <font>
      <sz val="10"/>
      <color rgb="FF00B050"/>
      <name val="Calibri"/>
      <family val="2"/>
      <charset val="238"/>
    </font>
    <font>
      <b/>
      <sz val="10"/>
      <color rgb="FF00B050"/>
      <name val="Calibri"/>
      <family val="2"/>
      <charset val="238"/>
    </font>
    <font>
      <sz val="10"/>
      <color theme="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rgb="FF1F497D"/>
      <name val="Calibri"/>
      <family val="2"/>
      <charset val="238"/>
      <scheme val="minor"/>
    </font>
    <font>
      <b/>
      <sz val="10"/>
      <color rgb="FF1F497D"/>
      <name val="Calibri"/>
      <family val="2"/>
      <charset val="238"/>
      <scheme val="minor"/>
    </font>
    <font>
      <sz val="9"/>
      <color rgb="FF1F497D"/>
      <name val="Arial"/>
      <family val="2"/>
      <charset val="238"/>
    </font>
    <font>
      <sz val="10"/>
      <color rgb="FF00B050"/>
      <name val="Arial"/>
      <family val="2"/>
      <charset val="238"/>
    </font>
    <font>
      <sz val="10"/>
      <color theme="3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11"/>
      <color theme="1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5" fillId="0" borderId="0"/>
    <xf numFmtId="0" fontId="9" fillId="0" borderId="0"/>
    <xf numFmtId="0" fontId="11" fillId="0" borderId="0"/>
    <xf numFmtId="0" fontId="9" fillId="0" borderId="0"/>
  </cellStyleXfs>
  <cellXfs count="423">
    <xf numFmtId="0" fontId="0" fillId="0" borderId="0" xfId="0"/>
    <xf numFmtId="0" fontId="1" fillId="0" borderId="0" xfId="0" applyFont="1" applyBorder="1" applyAlignment="1">
      <alignment wrapText="1"/>
    </xf>
    <xf numFmtId="0" fontId="0" fillId="0" borderId="0" xfId="0" applyBorder="1"/>
    <xf numFmtId="4" fontId="2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4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>
      <alignment wrapText="1"/>
    </xf>
    <xf numFmtId="0" fontId="0" fillId="0" borderId="0" xfId="0"/>
    <xf numFmtId="0" fontId="0" fillId="0" borderId="0" xfId="0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/>
    <xf numFmtId="0" fontId="2" fillId="0" borderId="1" xfId="0" applyNumberFormat="1" applyFont="1" applyFill="1" applyBorder="1" applyAlignment="1">
      <alignment wrapText="1"/>
    </xf>
    <xf numFmtId="0" fontId="8" fillId="0" borderId="0" xfId="0" applyFont="1"/>
    <xf numFmtId="4" fontId="2" fillId="0" borderId="1" xfId="0" applyNumberFormat="1" applyFont="1" applyFill="1" applyBorder="1"/>
    <xf numFmtId="4" fontId="0" fillId="0" borderId="0" xfId="0" applyNumberFormat="1"/>
    <xf numFmtId="4" fontId="7" fillId="0" borderId="1" xfId="0" applyNumberFormat="1" applyFont="1" applyFill="1" applyBorder="1"/>
    <xf numFmtId="0" fontId="13" fillId="0" borderId="0" xfId="3" applyFont="1"/>
    <xf numFmtId="0" fontId="9" fillId="0" borderId="0" xfId="3" applyAlignment="1">
      <alignment horizontal="left"/>
    </xf>
    <xf numFmtId="0" fontId="10" fillId="0" borderId="0" xfId="3" applyFont="1"/>
    <xf numFmtId="0" fontId="9" fillId="0" borderId="24" xfId="3" applyBorder="1" applyAlignment="1">
      <alignment horizontal="center" vertical="center"/>
    </xf>
    <xf numFmtId="0" fontId="9" fillId="0" borderId="12" xfId="3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9" fillId="0" borderId="0" xfId="3"/>
    <xf numFmtId="0" fontId="16" fillId="0" borderId="0" xfId="3" applyFont="1" applyAlignment="1">
      <alignment horizontal="center"/>
    </xf>
    <xf numFmtId="0" fontId="9" fillId="0" borderId="32" xfId="3" applyBorder="1"/>
    <xf numFmtId="8" fontId="15" fillId="0" borderId="35" xfId="3" applyNumberFormat="1" applyFont="1" applyBorder="1"/>
    <xf numFmtId="8" fontId="15" fillId="0" borderId="36" xfId="3" applyNumberFormat="1" applyFont="1" applyBorder="1"/>
    <xf numFmtId="0" fontId="9" fillId="0" borderId="0" xfId="3" applyAlignment="1">
      <alignment horizontal="right"/>
    </xf>
    <xf numFmtId="0" fontId="9" fillId="0" borderId="32" xfId="3" applyBorder="1" applyAlignment="1">
      <alignment horizontal="right"/>
    </xf>
    <xf numFmtId="0" fontId="15" fillId="6" borderId="5" xfId="3" applyFont="1" applyFill="1" applyBorder="1" applyAlignment="1">
      <alignment horizontal="center"/>
    </xf>
    <xf numFmtId="0" fontId="15" fillId="7" borderId="9" xfId="3" applyFont="1" applyFill="1" applyBorder="1" applyAlignment="1">
      <alignment horizontal="center"/>
    </xf>
    <xf numFmtId="0" fontId="15" fillId="7" borderId="6" xfId="3" applyFont="1" applyFill="1" applyBorder="1" applyAlignment="1">
      <alignment horizontal="center"/>
    </xf>
    <xf numFmtId="8" fontId="15" fillId="0" borderId="39" xfId="3" applyNumberFormat="1" applyFont="1" applyBorder="1"/>
    <xf numFmtId="0" fontId="15" fillId="7" borderId="15" xfId="3" applyFont="1" applyFill="1" applyBorder="1" applyAlignment="1">
      <alignment horizontal="center"/>
    </xf>
    <xf numFmtId="0" fontId="15" fillId="7" borderId="15" xfId="3" applyFont="1" applyFill="1" applyBorder="1" applyAlignment="1">
      <alignment horizontal="right"/>
    </xf>
    <xf numFmtId="0" fontId="9" fillId="0" borderId="38" xfId="3" applyBorder="1"/>
    <xf numFmtId="0" fontId="9" fillId="0" borderId="38" xfId="3" applyBorder="1" applyAlignment="1">
      <alignment horizontal="right"/>
    </xf>
    <xf numFmtId="8" fontId="15" fillId="0" borderId="39" xfId="3" applyNumberFormat="1" applyFont="1" applyBorder="1" applyAlignment="1">
      <alignment horizontal="right"/>
    </xf>
    <xf numFmtId="8" fontId="15" fillId="0" borderId="35" xfId="3" applyNumberFormat="1" applyFont="1" applyBorder="1" applyAlignment="1">
      <alignment horizontal="right"/>
    </xf>
    <xf numFmtId="8" fontId="15" fillId="0" borderId="36" xfId="3" applyNumberFormat="1" applyFont="1" applyBorder="1" applyAlignment="1">
      <alignment horizontal="right"/>
    </xf>
    <xf numFmtId="8" fontId="9" fillId="0" borderId="0" xfId="3" applyNumberFormat="1"/>
    <xf numFmtId="0" fontId="17" fillId="7" borderId="9" xfId="3" applyFont="1" applyFill="1" applyBorder="1" applyAlignment="1">
      <alignment horizontal="center"/>
    </xf>
    <xf numFmtId="0" fontId="17" fillId="7" borderId="6" xfId="3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Fill="1" applyBorder="1"/>
    <xf numFmtId="4" fontId="4" fillId="0" borderId="0" xfId="0" applyNumberFormat="1" applyFont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3" xfId="0" applyFont="1" applyBorder="1" applyAlignment="1">
      <alignment horizontal="right"/>
    </xf>
    <xf numFmtId="4" fontId="2" fillId="0" borderId="0" xfId="0" applyNumberFormat="1" applyFont="1" applyBorder="1"/>
    <xf numFmtId="4" fontId="2" fillId="0" borderId="0" xfId="0" applyNumberFormat="1" applyFont="1" applyBorder="1" applyAlignment="1">
      <alignment horizontal="center" vertical="center"/>
    </xf>
    <xf numFmtId="0" fontId="4" fillId="0" borderId="18" xfId="0" applyFont="1" applyBorder="1"/>
    <xf numFmtId="0" fontId="4" fillId="0" borderId="20" xfId="0" applyFont="1" applyBorder="1"/>
    <xf numFmtId="0" fontId="4" fillId="0" borderId="22" xfId="0" applyFont="1" applyBorder="1"/>
    <xf numFmtId="4" fontId="0" fillId="3" borderId="0" xfId="0" applyNumberFormat="1" applyFill="1"/>
    <xf numFmtId="4" fontId="0" fillId="5" borderId="0" xfId="0" applyNumberFormat="1" applyFill="1"/>
    <xf numFmtId="4" fontId="0" fillId="4" borderId="0" xfId="0" applyNumberFormat="1" applyFill="1"/>
    <xf numFmtId="4" fontId="2" fillId="0" borderId="13" xfId="0" applyNumberFormat="1" applyFont="1" applyFill="1" applyBorder="1"/>
    <xf numFmtId="0" fontId="4" fillId="0" borderId="0" xfId="0" applyFont="1" applyBorder="1" applyAlignment="1">
      <alignment horizontal="center"/>
    </xf>
    <xf numFmtId="4" fontId="23" fillId="0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3" fillId="0" borderId="2" xfId="0" applyNumberFormat="1" applyFont="1" applyFill="1" applyBorder="1"/>
    <xf numFmtId="1" fontId="17" fillId="0" borderId="45" xfId="0" applyNumberFormat="1" applyFont="1" applyBorder="1" applyAlignment="1">
      <alignment horizontal="center" wrapText="1"/>
    </xf>
    <xf numFmtId="49" fontId="17" fillId="11" borderId="48" xfId="0" applyNumberFormat="1" applyFont="1" applyFill="1" applyBorder="1" applyAlignment="1">
      <alignment horizontal="center" wrapText="1"/>
    </xf>
    <xf numFmtId="49" fontId="17" fillId="3" borderId="49" xfId="0" applyNumberFormat="1" applyFont="1" applyFill="1" applyBorder="1" applyAlignment="1">
      <alignment horizontal="center" wrapText="1"/>
    </xf>
    <xf numFmtId="49" fontId="17" fillId="3" borderId="50" xfId="0" applyNumberFormat="1" applyFont="1" applyFill="1" applyBorder="1" applyAlignment="1">
      <alignment horizontal="center" wrapText="1"/>
    </xf>
    <xf numFmtId="49" fontId="17" fillId="3" borderId="51" xfId="0" applyNumberFormat="1" applyFont="1" applyFill="1" applyBorder="1" applyAlignment="1">
      <alignment horizontal="center" wrapText="1"/>
    </xf>
    <xf numFmtId="0" fontId="9" fillId="0" borderId="52" xfId="0" applyFont="1" applyBorder="1"/>
    <xf numFmtId="0" fontId="9" fillId="0" borderId="13" xfId="0" applyFont="1" applyBorder="1"/>
    <xf numFmtId="0" fontId="9" fillId="0" borderId="12" xfId="0" applyFont="1" applyBorder="1"/>
    <xf numFmtId="3" fontId="0" fillId="2" borderId="42" xfId="0" applyNumberFormat="1" applyFill="1" applyBorder="1"/>
    <xf numFmtId="3" fontId="15" fillId="11" borderId="8" xfId="0" applyNumberFormat="1" applyFont="1" applyFill="1" applyBorder="1"/>
    <xf numFmtId="3" fontId="15" fillId="8" borderId="56" xfId="0" applyNumberFormat="1" applyFont="1" applyFill="1" applyBorder="1" applyAlignment="1">
      <alignment horizontal="center"/>
    </xf>
    <xf numFmtId="3" fontId="15" fillId="3" borderId="8" xfId="0" applyNumberFormat="1" applyFont="1" applyFill="1" applyBorder="1"/>
    <xf numFmtId="3" fontId="0" fillId="2" borderId="9" xfId="0" applyNumberFormat="1" applyFill="1" applyBorder="1"/>
    <xf numFmtId="3" fontId="0" fillId="8" borderId="56" xfId="0" applyNumberFormat="1" applyFill="1" applyBorder="1"/>
    <xf numFmtId="3" fontId="0" fillId="8" borderId="42" xfId="0" applyNumberFormat="1" applyFill="1" applyBorder="1"/>
    <xf numFmtId="3" fontId="0" fillId="0" borderId="0" xfId="0" applyNumberFormat="1"/>
    <xf numFmtId="0" fontId="28" fillId="0" borderId="0" xfId="0" applyFont="1"/>
    <xf numFmtId="3" fontId="9" fillId="0" borderId="58" xfId="5" applyNumberFormat="1" applyBorder="1" applyAlignment="1">
      <alignment vertical="center"/>
    </xf>
    <xf numFmtId="3" fontId="9" fillId="0" borderId="53" xfId="0" applyNumberFormat="1" applyFont="1" applyBorder="1" applyAlignment="1">
      <alignment horizontal="center"/>
    </xf>
    <xf numFmtId="3" fontId="9" fillId="0" borderId="59" xfId="5" applyNumberFormat="1" applyBorder="1" applyAlignment="1">
      <alignment vertical="center"/>
    </xf>
    <xf numFmtId="3" fontId="0" fillId="0" borderId="2" xfId="0" applyNumberFormat="1" applyBorder="1"/>
    <xf numFmtId="3" fontId="9" fillId="0" borderId="54" xfId="5" applyNumberFormat="1" applyBorder="1" applyAlignment="1">
      <alignment vertical="center"/>
    </xf>
    <xf numFmtId="3" fontId="9" fillId="0" borderId="0" xfId="5" applyNumberFormat="1" applyAlignment="1">
      <alignment vertical="center"/>
    </xf>
    <xf numFmtId="3" fontId="9" fillId="0" borderId="60" xfId="5" applyNumberFormat="1" applyBorder="1" applyAlignment="1">
      <alignment vertical="center"/>
    </xf>
    <xf numFmtId="3" fontId="9" fillId="0" borderId="21" xfId="0" applyNumberFormat="1" applyFont="1" applyBorder="1" applyAlignment="1">
      <alignment horizontal="center"/>
    </xf>
    <xf numFmtId="3" fontId="0" fillId="0" borderId="1" xfId="0" applyNumberFormat="1" applyBorder="1"/>
    <xf numFmtId="3" fontId="9" fillId="0" borderId="61" xfId="5" applyNumberFormat="1" applyBorder="1" applyAlignment="1">
      <alignment vertical="center"/>
    </xf>
    <xf numFmtId="3" fontId="9" fillId="0" borderId="55" xfId="0" applyNumberFormat="1" applyFont="1" applyBorder="1" applyAlignment="1">
      <alignment horizontal="center"/>
    </xf>
    <xf numFmtId="3" fontId="9" fillId="0" borderId="62" xfId="5" applyNumberFormat="1" applyBorder="1" applyAlignment="1">
      <alignment vertical="center"/>
    </xf>
    <xf numFmtId="3" fontId="0" fillId="0" borderId="3" xfId="0" applyNumberFormat="1" applyBorder="1"/>
    <xf numFmtId="0" fontId="9" fillId="0" borderId="26" xfId="3" applyBorder="1"/>
    <xf numFmtId="0" fontId="9" fillId="0" borderId="28" xfId="3" applyBorder="1"/>
    <xf numFmtId="3" fontId="9" fillId="0" borderId="0" xfId="3" applyNumberFormat="1"/>
    <xf numFmtId="0" fontId="9" fillId="0" borderId="20" xfId="3" applyBorder="1"/>
    <xf numFmtId="0" fontId="9" fillId="0" borderId="29" xfId="3" applyBorder="1"/>
    <xf numFmtId="164" fontId="0" fillId="0" borderId="0" xfId="0" applyNumberFormat="1"/>
    <xf numFmtId="0" fontId="9" fillId="0" borderId="22" xfId="3" applyBorder="1"/>
    <xf numFmtId="0" fontId="9" fillId="0" borderId="31" xfId="3" applyBorder="1"/>
    <xf numFmtId="0" fontId="9" fillId="0" borderId="1" xfId="3" applyBorder="1" applyAlignment="1">
      <alignment horizontal="center" vertical="center"/>
    </xf>
    <xf numFmtId="0" fontId="0" fillId="12" borderId="1" xfId="0" applyFill="1" applyBorder="1"/>
    <xf numFmtId="0" fontId="27" fillId="0" borderId="0" xfId="0" applyFont="1"/>
    <xf numFmtId="0" fontId="29" fillId="0" borderId="0" xfId="0" applyFont="1" applyAlignment="1">
      <alignment vertical="center"/>
    </xf>
    <xf numFmtId="0" fontId="8" fillId="0" borderId="47" xfId="0" applyFont="1" applyBorder="1"/>
    <xf numFmtId="0" fontId="8" fillId="0" borderId="63" xfId="0" applyFont="1" applyBorder="1"/>
    <xf numFmtId="0" fontId="30" fillId="0" borderId="0" xfId="0" applyFont="1" applyAlignment="1">
      <alignment vertical="center"/>
    </xf>
    <xf numFmtId="0" fontId="26" fillId="0" borderId="0" xfId="0" applyFont="1"/>
    <xf numFmtId="4" fontId="0" fillId="0" borderId="1" xfId="0" applyNumberFormat="1" applyBorder="1" applyAlignment="1">
      <alignment vertical="center" wrapText="1"/>
    </xf>
    <xf numFmtId="0" fontId="31" fillId="0" borderId="0" xfId="0" applyFont="1"/>
    <xf numFmtId="0" fontId="9" fillId="0" borderId="0" xfId="3" applyAlignment="1">
      <alignment horizontal="center"/>
    </xf>
    <xf numFmtId="0" fontId="9" fillId="0" borderId="37" xfId="3" applyBorder="1" applyAlignment="1">
      <alignment horizontal="right"/>
    </xf>
    <xf numFmtId="0" fontId="9" fillId="0" borderId="33" xfId="3" applyBorder="1" applyAlignment="1">
      <alignment horizontal="right"/>
    </xf>
    <xf numFmtId="0" fontId="9" fillId="0" borderId="34" xfId="3" applyBorder="1" applyAlignment="1">
      <alignment horizontal="right"/>
    </xf>
    <xf numFmtId="0" fontId="9" fillId="0" borderId="40" xfId="3" applyBorder="1"/>
    <xf numFmtId="0" fontId="9" fillId="0" borderId="40" xfId="3" applyBorder="1" applyAlignment="1">
      <alignment horizontal="right"/>
    </xf>
    <xf numFmtId="8" fontId="0" fillId="0" borderId="0" xfId="0" applyNumberFormat="1"/>
    <xf numFmtId="49" fontId="9" fillId="0" borderId="32" xfId="3" applyNumberFormat="1" applyBorder="1"/>
    <xf numFmtId="0" fontId="32" fillId="0" borderId="0" xfId="3" applyFont="1"/>
    <xf numFmtId="0" fontId="0" fillId="12" borderId="1" xfId="0" applyFill="1" applyBorder="1" applyAlignment="1">
      <alignment horizontal="center"/>
    </xf>
    <xf numFmtId="0" fontId="29" fillId="0" borderId="26" xfId="0" applyFont="1" applyBorder="1" applyAlignment="1">
      <alignment vertical="center"/>
    </xf>
    <xf numFmtId="0" fontId="0" fillId="0" borderId="27" xfId="0" applyBorder="1"/>
    <xf numFmtId="0" fontId="0" fillId="0" borderId="28" xfId="0" applyBorder="1"/>
    <xf numFmtId="0" fontId="29" fillId="0" borderId="22" xfId="0" applyFont="1" applyBorder="1" applyAlignment="1">
      <alignment vertical="center"/>
    </xf>
    <xf numFmtId="0" fontId="0" fillId="0" borderId="30" xfId="0" applyBorder="1"/>
    <xf numFmtId="0" fontId="0" fillId="0" borderId="31" xfId="0" applyBorder="1"/>
    <xf numFmtId="0" fontId="33" fillId="0" borderId="0" xfId="0" applyFont="1" applyAlignment="1">
      <alignment vertical="center"/>
    </xf>
    <xf numFmtId="0" fontId="34" fillId="0" borderId="0" xfId="0" applyFont="1"/>
    <xf numFmtId="0" fontId="36" fillId="0" borderId="0" xfId="0" applyFont="1"/>
    <xf numFmtId="49" fontId="36" fillId="0" borderId="0" xfId="0" applyNumberFormat="1" applyFont="1" applyAlignment="1">
      <alignment horizontal="center"/>
    </xf>
    <xf numFmtId="3" fontId="9" fillId="0" borderId="27" xfId="3" applyNumberFormat="1" applyBorder="1"/>
    <xf numFmtId="3" fontId="9" fillId="0" borderId="30" xfId="3" applyNumberFormat="1" applyBorder="1"/>
    <xf numFmtId="3" fontId="27" fillId="0" borderId="0" xfId="0" applyNumberFormat="1" applyFont="1"/>
    <xf numFmtId="3" fontId="14" fillId="0" borderId="0" xfId="0" applyNumberFormat="1" applyFont="1"/>
    <xf numFmtId="4" fontId="27" fillId="0" borderId="0" xfId="0" applyNumberFormat="1" applyFont="1"/>
    <xf numFmtId="0" fontId="8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" fontId="37" fillId="0" borderId="13" xfId="0" applyNumberFormat="1" applyFont="1" applyFill="1" applyBorder="1" applyAlignment="1">
      <alignment horizontal="center" vertical="center"/>
    </xf>
    <xf numFmtId="0" fontId="9" fillId="0" borderId="0" xfId="3" applyFill="1" applyBorder="1"/>
    <xf numFmtId="3" fontId="9" fillId="0" borderId="0" xfId="3" applyNumberFormat="1" applyFill="1" applyBorder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4" fillId="0" borderId="0" xfId="0" applyFont="1" applyFill="1"/>
    <xf numFmtId="0" fontId="9" fillId="0" borderId="0" xfId="3" applyFill="1"/>
    <xf numFmtId="0" fontId="9" fillId="0" borderId="25" xfId="3" applyFill="1" applyBorder="1"/>
    <xf numFmtId="0" fontId="9" fillId="0" borderId="4" xfId="3" applyFill="1" applyBorder="1"/>
    <xf numFmtId="0" fontId="9" fillId="0" borderId="17" xfId="3" applyFill="1" applyBorder="1"/>
    <xf numFmtId="0" fontId="9" fillId="0" borderId="0" xfId="3" applyAlignment="1">
      <alignment horizontal="center"/>
    </xf>
    <xf numFmtId="0" fontId="0" fillId="0" borderId="0" xfId="0" applyFill="1"/>
    <xf numFmtId="0" fontId="39" fillId="0" borderId="0" xfId="3" applyFont="1" applyAlignment="1">
      <alignment horizontal="center"/>
    </xf>
    <xf numFmtId="0" fontId="33" fillId="0" borderId="0" xfId="0" applyFont="1" applyFill="1" applyAlignment="1">
      <alignment vertical="center"/>
    </xf>
    <xf numFmtId="0" fontId="34" fillId="0" borderId="0" xfId="0" applyFont="1" applyFill="1"/>
    <xf numFmtId="0" fontId="9" fillId="0" borderId="13" xfId="3" applyBorder="1" applyAlignment="1">
      <alignment horizontal="center" vertical="center"/>
    </xf>
    <xf numFmtId="0" fontId="9" fillId="0" borderId="57" xfId="3" applyBorder="1" applyAlignment="1">
      <alignment wrapText="1"/>
    </xf>
    <xf numFmtId="0" fontId="9" fillId="0" borderId="14" xfId="3" applyBorder="1" applyAlignment="1">
      <alignment wrapText="1"/>
    </xf>
    <xf numFmtId="0" fontId="9" fillId="0" borderId="57" xfId="3" applyFill="1" applyBorder="1"/>
    <xf numFmtId="0" fontId="9" fillId="0" borderId="14" xfId="3" applyFill="1" applyBorder="1"/>
    <xf numFmtId="0" fontId="10" fillId="0" borderId="0" xfId="3" applyFont="1" applyAlignment="1">
      <alignment horizontal="center"/>
    </xf>
    <xf numFmtId="0" fontId="0" fillId="0" borderId="0" xfId="0" applyFill="1" applyBorder="1"/>
    <xf numFmtId="0" fontId="0" fillId="8" borderId="8" xfId="0" applyFill="1" applyBorder="1"/>
    <xf numFmtId="0" fontId="9" fillId="8" borderId="56" xfId="0" applyFont="1" applyFill="1" applyBorder="1"/>
    <xf numFmtId="0" fontId="2" fillId="8" borderId="15" xfId="0" applyFont="1" applyFill="1" applyBorder="1" applyAlignment="1">
      <alignment horizontal="center"/>
    </xf>
    <xf numFmtId="0" fontId="0" fillId="8" borderId="7" xfId="0" applyFill="1" applyBorder="1" applyAlignment="1">
      <alignment horizontal="right"/>
    </xf>
    <xf numFmtId="4" fontId="0" fillId="8" borderId="7" xfId="0" applyNumberFormat="1" applyFill="1" applyBorder="1" applyAlignment="1">
      <alignment horizontal="right"/>
    </xf>
    <xf numFmtId="0" fontId="0" fillId="8" borderId="6" xfId="0" applyFill="1" applyBorder="1"/>
    <xf numFmtId="0" fontId="0" fillId="0" borderId="0" xfId="0" applyAlignment="1">
      <alignment horizontal="left"/>
    </xf>
    <xf numFmtId="0" fontId="0" fillId="0" borderId="0" xfId="0" applyAlignment="1"/>
    <xf numFmtId="4" fontId="2" fillId="0" borderId="54" xfId="0" applyNumberFormat="1" applyFont="1" applyFill="1" applyBorder="1"/>
    <xf numFmtId="4" fontId="0" fillId="0" borderId="21" xfId="0" applyNumberFormat="1" applyBorder="1"/>
    <xf numFmtId="4" fontId="3" fillId="0" borderId="54" xfId="0" applyNumberFormat="1" applyFont="1" applyFill="1" applyBorder="1"/>
    <xf numFmtId="4" fontId="2" fillId="0" borderId="64" xfId="0" applyNumberFormat="1" applyFont="1" applyFill="1" applyBorder="1"/>
    <xf numFmtId="4" fontId="2" fillId="0" borderId="65" xfId="0" applyNumberFormat="1" applyFont="1" applyFill="1" applyBorder="1"/>
    <xf numFmtId="0" fontId="24" fillId="0" borderId="0" xfId="0" applyFont="1" applyBorder="1" applyAlignment="1">
      <alignment horizontal="right"/>
    </xf>
    <xf numFmtId="0" fontId="41" fillId="14" borderId="42" xfId="0" applyFont="1" applyFill="1" applyBorder="1" applyAlignment="1">
      <alignment horizontal="justify" vertical="center" wrapText="1"/>
    </xf>
    <xf numFmtId="0" fontId="42" fillId="14" borderId="6" xfId="0" applyFont="1" applyFill="1" applyBorder="1" applyAlignment="1">
      <alignment horizontal="justify" vertical="center" wrapText="1"/>
    </xf>
    <xf numFmtId="0" fontId="43" fillId="14" borderId="6" xfId="0" applyFont="1" applyFill="1" applyBorder="1" applyAlignment="1">
      <alignment horizontal="justify" vertical="center" wrapText="1"/>
    </xf>
    <xf numFmtId="0" fontId="44" fillId="0" borderId="29" xfId="0" applyFont="1" applyBorder="1" applyAlignment="1">
      <alignment horizontal="justify" vertical="center" wrapText="1"/>
    </xf>
    <xf numFmtId="0" fontId="45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horizontal="justify" vertical="center" wrapText="1"/>
    </xf>
    <xf numFmtId="0" fontId="45" fillId="0" borderId="31" xfId="0" applyFont="1" applyBorder="1" applyAlignment="1">
      <alignment horizontal="justify" vertical="center" wrapText="1"/>
    </xf>
    <xf numFmtId="0" fontId="41" fillId="0" borderId="31" xfId="0" applyFont="1" applyBorder="1" applyAlignment="1">
      <alignment horizontal="justify" vertical="center" wrapText="1"/>
    </xf>
    <xf numFmtId="3" fontId="44" fillId="0" borderId="31" xfId="0" applyNumberFormat="1" applyFont="1" applyBorder="1" applyAlignment="1">
      <alignment horizontal="justify" vertical="center" wrapText="1"/>
    </xf>
    <xf numFmtId="0" fontId="40" fillId="0" borderId="31" xfId="0" applyFont="1" applyBorder="1" applyAlignment="1">
      <alignment horizontal="justify" vertical="center" wrapText="1"/>
    </xf>
    <xf numFmtId="0" fontId="46" fillId="0" borderId="29" xfId="0" applyFont="1" applyBorder="1" applyAlignment="1">
      <alignment vertical="center" wrapText="1"/>
    </xf>
    <xf numFmtId="0" fontId="46" fillId="0" borderId="31" xfId="0" applyFont="1" applyBorder="1" applyAlignment="1">
      <alignment horizontal="justify" vertical="center" wrapText="1"/>
    </xf>
    <xf numFmtId="0" fontId="40" fillId="0" borderId="29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40" fillId="0" borderId="0" xfId="0" applyFont="1" applyAlignment="1">
      <alignment vertical="center"/>
    </xf>
    <xf numFmtId="3" fontId="47" fillId="0" borderId="31" xfId="0" applyNumberFormat="1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/>
    </xf>
    <xf numFmtId="0" fontId="44" fillId="0" borderId="63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4" fontId="2" fillId="0" borderId="14" xfId="0" applyNumberFormat="1" applyFont="1" applyFill="1" applyBorder="1"/>
    <xf numFmtId="0" fontId="4" fillId="0" borderId="13" xfId="0" applyFont="1" applyFill="1" applyBorder="1" applyAlignment="1">
      <alignment horizontal="left"/>
    </xf>
    <xf numFmtId="4" fontId="2" fillId="0" borderId="2" xfId="0" applyNumberFormat="1" applyFont="1" applyFill="1" applyBorder="1"/>
    <xf numFmtId="4" fontId="2" fillId="0" borderId="41" xfId="0" applyNumberFormat="1" applyFont="1" applyFill="1" applyBorder="1"/>
    <xf numFmtId="4" fontId="2" fillId="0" borderId="44" xfId="0" applyNumberFormat="1" applyFont="1" applyFill="1" applyBorder="1"/>
    <xf numFmtId="0" fontId="0" fillId="0" borderId="1" xfId="0" applyFill="1" applyBorder="1"/>
    <xf numFmtId="0" fontId="25" fillId="0" borderId="1" xfId="0" applyFont="1" applyFill="1" applyBorder="1"/>
    <xf numFmtId="0" fontId="7" fillId="0" borderId="2" xfId="0" applyFont="1" applyBorder="1" applyAlignment="1">
      <alignment horizontal="right"/>
    </xf>
    <xf numFmtId="0" fontId="4" fillId="0" borderId="2" xfId="0" applyFont="1" applyFill="1" applyBorder="1"/>
    <xf numFmtId="0" fontId="2" fillId="0" borderId="7" xfId="0" applyFont="1" applyBorder="1" applyAlignment="1">
      <alignment vertical="center"/>
    </xf>
    <xf numFmtId="4" fontId="2" fillId="0" borderId="17" xfId="0" applyNumberFormat="1" applyFont="1" applyFill="1" applyBorder="1"/>
    <xf numFmtId="0" fontId="2" fillId="0" borderId="67" xfId="0" applyFont="1" applyBorder="1" applyAlignment="1">
      <alignment horizontal="center" vertical="center"/>
    </xf>
    <xf numFmtId="4" fontId="2" fillId="0" borderId="54" xfId="0" applyNumberFormat="1" applyFont="1" applyFill="1" applyBorder="1" applyAlignment="1">
      <alignment horizontal="center" vertical="center"/>
    </xf>
    <xf numFmtId="1" fontId="2" fillId="0" borderId="21" xfId="0" applyNumberFormat="1" applyFont="1" applyFill="1" applyBorder="1" applyAlignment="1">
      <alignment horizontal="center" vertical="center"/>
    </xf>
    <xf numFmtId="4" fontId="2" fillId="0" borderId="54" xfId="0" applyNumberFormat="1" applyFont="1" applyFill="1" applyBorder="1" applyAlignment="1">
      <alignment horizontal="center" vertical="center" wrapText="1"/>
    </xf>
    <xf numFmtId="4" fontId="2" fillId="0" borderId="64" xfId="0" applyNumberFormat="1" applyFont="1" applyFill="1" applyBorder="1" applyAlignment="1">
      <alignment horizontal="center" vertical="center" wrapText="1"/>
    </xf>
    <xf numFmtId="1" fontId="2" fillId="0" borderId="53" xfId="0" applyNumberFormat="1" applyFont="1" applyFill="1" applyBorder="1" applyAlignment="1">
      <alignment horizontal="center" vertical="center"/>
    </xf>
    <xf numFmtId="1" fontId="3" fillId="0" borderId="21" xfId="0" applyNumberFormat="1" applyFont="1" applyFill="1" applyBorder="1" applyAlignment="1">
      <alignment horizontal="center" vertical="center"/>
    </xf>
    <xf numFmtId="0" fontId="4" fillId="0" borderId="21" xfId="0" applyFont="1" applyBorder="1"/>
    <xf numFmtId="4" fontId="25" fillId="0" borderId="65" xfId="0" applyNumberFormat="1" applyFont="1" applyFill="1" applyBorder="1" applyAlignment="1">
      <alignment wrapText="1"/>
    </xf>
    <xf numFmtId="4" fontId="2" fillId="0" borderId="23" xfId="0" applyNumberFormat="1" applyFont="1" applyFill="1" applyBorder="1" applyAlignment="1">
      <alignment wrapText="1"/>
    </xf>
    <xf numFmtId="4" fontId="25" fillId="0" borderId="23" xfId="0" applyNumberFormat="1" applyFont="1" applyFill="1" applyBorder="1" applyAlignment="1">
      <alignment wrapText="1"/>
    </xf>
    <xf numFmtId="1" fontId="2" fillId="0" borderId="68" xfId="0" applyNumberFormat="1" applyFont="1" applyFill="1" applyBorder="1" applyAlignment="1">
      <alignment horizontal="center" vertical="center"/>
    </xf>
    <xf numFmtId="4" fontId="0" fillId="0" borderId="54" xfId="0" applyNumberFormat="1" applyFill="1" applyBorder="1"/>
    <xf numFmtId="4" fontId="4" fillId="0" borderId="21" xfId="0" applyNumberFormat="1" applyFont="1" applyFill="1" applyBorder="1"/>
    <xf numFmtId="4" fontId="8" fillId="0" borderId="21" xfId="0" applyNumberFormat="1" applyFont="1" applyBorder="1"/>
    <xf numFmtId="0" fontId="0" fillId="0" borderId="54" xfId="0" applyFill="1" applyBorder="1"/>
    <xf numFmtId="4" fontId="0" fillId="0" borderId="53" xfId="0" applyNumberFormat="1" applyBorder="1"/>
    <xf numFmtId="4" fontId="4" fillId="0" borderId="21" xfId="0" applyNumberFormat="1" applyFont="1" applyBorder="1"/>
    <xf numFmtId="0" fontId="0" fillId="0" borderId="21" xfId="0" applyBorder="1"/>
    <xf numFmtId="0" fontId="8" fillId="0" borderId="21" xfId="0" applyFont="1" applyBorder="1"/>
    <xf numFmtId="4" fontId="2" fillId="0" borderId="54" xfId="0" applyNumberFormat="1" applyFont="1" applyFill="1" applyBorder="1" applyAlignment="1">
      <alignment horizontal="right"/>
    </xf>
    <xf numFmtId="0" fontId="0" fillId="0" borderId="68" xfId="0" applyBorder="1"/>
    <xf numFmtId="4" fontId="2" fillId="16" borderId="60" xfId="0" applyNumberFormat="1" applyFont="1" applyFill="1" applyBorder="1" applyAlignment="1">
      <alignment horizontal="center" vertical="center"/>
    </xf>
    <xf numFmtId="0" fontId="2" fillId="16" borderId="60" xfId="0" applyFont="1" applyFill="1" applyBorder="1" applyAlignment="1">
      <alignment horizontal="center"/>
    </xf>
    <xf numFmtId="4" fontId="2" fillId="16" borderId="69" xfId="0" applyNumberFormat="1" applyFont="1" applyFill="1" applyBorder="1" applyAlignment="1">
      <alignment horizontal="center" vertical="center"/>
    </xf>
    <xf numFmtId="4" fontId="2" fillId="16" borderId="44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9" xfId="0" applyFont="1" applyBorder="1" applyAlignment="1">
      <alignment horizontal="center" vertical="center"/>
    </xf>
    <xf numFmtId="0" fontId="2" fillId="16" borderId="43" xfId="0" applyFont="1" applyFill="1" applyBorder="1" applyAlignment="1">
      <alignment horizontal="center" vertical="center" wrapText="1"/>
    </xf>
    <xf numFmtId="0" fontId="4" fillId="0" borderId="13" xfId="0" applyFont="1" applyFill="1" applyBorder="1"/>
    <xf numFmtId="0" fontId="4" fillId="0" borderId="13" xfId="0" applyFont="1" applyFill="1" applyBorder="1" applyAlignment="1">
      <alignment wrapText="1"/>
    </xf>
    <xf numFmtId="4" fontId="4" fillId="0" borderId="13" xfId="0" applyNumberFormat="1" applyFont="1" applyFill="1" applyBorder="1"/>
    <xf numFmtId="0" fontId="4" fillId="0" borderId="12" xfId="0" applyFont="1" applyFill="1" applyBorder="1"/>
    <xf numFmtId="4" fontId="2" fillId="0" borderId="21" xfId="0" applyNumberFormat="1" applyFont="1" applyFill="1" applyBorder="1"/>
    <xf numFmtId="4" fontId="4" fillId="0" borderId="54" xfId="0" applyNumberFormat="1" applyFont="1" applyFill="1" applyBorder="1" applyAlignment="1">
      <alignment vertical="center" wrapText="1"/>
    </xf>
    <xf numFmtId="4" fontId="23" fillId="0" borderId="64" xfId="0" applyNumberFormat="1" applyFont="1" applyFill="1" applyBorder="1"/>
    <xf numFmtId="4" fontId="2" fillId="0" borderId="53" xfId="0" applyNumberFormat="1" applyFont="1" applyFill="1" applyBorder="1"/>
    <xf numFmtId="4" fontId="22" fillId="0" borderId="21" xfId="0" applyNumberFormat="1" applyFont="1" applyFill="1" applyBorder="1"/>
    <xf numFmtId="4" fontId="7" fillId="0" borderId="54" xfId="0" applyNumberFormat="1" applyFont="1" applyFill="1" applyBorder="1"/>
    <xf numFmtId="4" fontId="2" fillId="0" borderId="23" xfId="0" applyNumberFormat="1" applyFont="1" applyFill="1" applyBorder="1"/>
    <xf numFmtId="4" fontId="7" fillId="0" borderId="23" xfId="0" applyNumberFormat="1" applyFont="1" applyFill="1" applyBorder="1"/>
    <xf numFmtId="4" fontId="2" fillId="0" borderId="68" xfId="0" applyNumberFormat="1" applyFont="1" applyFill="1" applyBorder="1"/>
    <xf numFmtId="4" fontId="24" fillId="0" borderId="13" xfId="0" applyNumberFormat="1" applyFont="1" applyFill="1" applyBorder="1"/>
    <xf numFmtId="4" fontId="7" fillId="0" borderId="13" xfId="0" applyNumberFormat="1" applyFont="1" applyFill="1" applyBorder="1"/>
    <xf numFmtId="4" fontId="24" fillId="0" borderId="12" xfId="0" applyNumberFormat="1" applyFont="1" applyFill="1" applyBorder="1"/>
    <xf numFmtId="4" fontId="2" fillId="0" borderId="70" xfId="0" applyNumberFormat="1" applyFont="1" applyFill="1" applyBorder="1"/>
    <xf numFmtId="4" fontId="2" fillId="0" borderId="71" xfId="0" applyNumberFormat="1" applyFont="1" applyFill="1" applyBorder="1"/>
    <xf numFmtId="0" fontId="2" fillId="0" borderId="42" xfId="0" applyFont="1" applyBorder="1" applyAlignment="1">
      <alignment horizontal="center" vertical="center"/>
    </xf>
    <xf numFmtId="4" fontId="2" fillId="15" borderId="60" xfId="0" applyNumberFormat="1" applyFont="1" applyFill="1" applyBorder="1"/>
    <xf numFmtId="4" fontId="2" fillId="15" borderId="60" xfId="0" applyNumberFormat="1" applyFont="1" applyFill="1" applyBorder="1" applyAlignment="1">
      <alignment horizontal="right"/>
    </xf>
    <xf numFmtId="4" fontId="2" fillId="0" borderId="69" xfId="0" applyNumberFormat="1" applyFont="1" applyFill="1" applyBorder="1"/>
    <xf numFmtId="4" fontId="2" fillId="15" borderId="44" xfId="0" applyNumberFormat="1" applyFont="1" applyFill="1" applyBorder="1"/>
    <xf numFmtId="0" fontId="4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15" borderId="46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16" borderId="46" xfId="0" applyFill="1" applyBorder="1" applyAlignment="1">
      <alignment horizontal="center" vertical="center"/>
    </xf>
    <xf numFmtId="0" fontId="2" fillId="0" borderId="66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wrapText="1"/>
    </xf>
    <xf numFmtId="0" fontId="2" fillId="0" borderId="67" xfId="0" applyFont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/>
    </xf>
    <xf numFmtId="0" fontId="2" fillId="0" borderId="9" xfId="0" applyFont="1" applyBorder="1"/>
    <xf numFmtId="0" fontId="2" fillId="0" borderId="16" xfId="0" applyFont="1" applyBorder="1"/>
    <xf numFmtId="0" fontId="2" fillId="0" borderId="8" xfId="0" applyFont="1" applyBorder="1" applyAlignment="1">
      <alignment horizontal="center" vertical="center"/>
    </xf>
    <xf numFmtId="0" fontId="2" fillId="13" borderId="9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16" borderId="42" xfId="0" applyFont="1" applyFill="1" applyBorder="1" applyAlignment="1">
      <alignment horizontal="center" vertical="center"/>
    </xf>
    <xf numFmtId="0" fontId="0" fillId="0" borderId="6" xfId="0" applyBorder="1"/>
    <xf numFmtId="0" fontId="7" fillId="0" borderId="23" xfId="0" applyFont="1" applyBorder="1" applyAlignment="1">
      <alignment horizontal="right"/>
    </xf>
    <xf numFmtId="0" fontId="4" fillId="0" borderId="23" xfId="0" applyFont="1" applyBorder="1"/>
    <xf numFmtId="0" fontId="4" fillId="0" borderId="70" xfId="0" applyFont="1" applyBorder="1"/>
    <xf numFmtId="4" fontId="2" fillId="0" borderId="65" xfId="0" applyNumberFormat="1" applyFont="1" applyFill="1" applyBorder="1" applyAlignment="1">
      <alignment horizontal="center" vertical="center" wrapText="1"/>
    </xf>
    <xf numFmtId="4" fontId="0" fillId="0" borderId="68" xfId="0" applyNumberFormat="1" applyBorder="1"/>
    <xf numFmtId="0" fontId="7" fillId="0" borderId="18" xfId="0" applyFont="1" applyBorder="1" applyAlignment="1">
      <alignment horizontal="right"/>
    </xf>
    <xf numFmtId="4" fontId="2" fillId="0" borderId="19" xfId="0" applyNumberFormat="1" applyFont="1" applyFill="1" applyBorder="1"/>
    <xf numFmtId="4" fontId="2" fillId="0" borderId="72" xfId="0" applyNumberFormat="1" applyFont="1" applyFill="1" applyBorder="1"/>
    <xf numFmtId="4" fontId="2" fillId="16" borderId="43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wrapText="1"/>
    </xf>
    <xf numFmtId="1" fontId="2" fillId="0" borderId="72" xfId="0" applyNumberFormat="1" applyFont="1" applyFill="1" applyBorder="1" applyAlignment="1">
      <alignment horizontal="center" vertical="center"/>
    </xf>
    <xf numFmtId="0" fontId="7" fillId="0" borderId="54" xfId="0" applyFont="1" applyBorder="1" applyAlignment="1">
      <alignment horizontal="right"/>
    </xf>
    <xf numFmtId="0" fontId="7" fillId="0" borderId="65" xfId="0" applyFont="1" applyBorder="1" applyAlignment="1">
      <alignment horizontal="right"/>
    </xf>
    <xf numFmtId="0" fontId="0" fillId="0" borderId="18" xfId="0" applyBorder="1" applyAlignment="1">
      <alignment horizontal="right"/>
    </xf>
    <xf numFmtId="0" fontId="19" fillId="8" borderId="19" xfId="0" applyFont="1" applyFill="1" applyBorder="1"/>
    <xf numFmtId="0" fontId="19" fillId="0" borderId="10" xfId="0" applyFont="1" applyBorder="1"/>
    <xf numFmtId="4" fontId="7" fillId="2" borderId="18" xfId="0" applyNumberFormat="1" applyFont="1" applyFill="1" applyBorder="1"/>
    <xf numFmtId="4" fontId="7" fillId="2" borderId="19" xfId="0" applyNumberFormat="1" applyFont="1" applyFill="1" applyBorder="1"/>
    <xf numFmtId="4" fontId="7" fillId="2" borderId="10" xfId="0" applyNumberFormat="1" applyFont="1" applyFill="1" applyBorder="1"/>
    <xf numFmtId="4" fontId="7" fillId="2" borderId="43" xfId="0" applyNumberFormat="1" applyFont="1" applyFill="1" applyBorder="1"/>
    <xf numFmtId="4" fontId="7" fillId="2" borderId="11" xfId="0" applyNumberFormat="1" applyFont="1" applyFill="1" applyBorder="1"/>
    <xf numFmtId="4" fontId="7" fillId="2" borderId="72" xfId="0" applyNumberFormat="1" applyFont="1" applyFill="1" applyBorder="1"/>
    <xf numFmtId="4" fontId="2" fillId="8" borderId="18" xfId="0" applyNumberFormat="1" applyFont="1" applyFill="1" applyBorder="1" applyAlignment="1">
      <alignment horizontal="center" vertical="center" wrapText="1"/>
    </xf>
    <xf numFmtId="4" fontId="2" fillId="10" borderId="19" xfId="0" applyNumberFormat="1" applyFont="1" applyFill="1" applyBorder="1"/>
    <xf numFmtId="4" fontId="2" fillId="9" borderId="19" xfId="0" applyNumberFormat="1" applyFont="1" applyFill="1" applyBorder="1"/>
    <xf numFmtId="1" fontId="2" fillId="8" borderId="72" xfId="0" applyNumberFormat="1" applyFont="1" applyFill="1" applyBorder="1" applyAlignment="1">
      <alignment horizontal="center" vertical="center"/>
    </xf>
    <xf numFmtId="4" fontId="27" fillId="2" borderId="18" xfId="0" applyNumberFormat="1" applyFont="1" applyFill="1" applyBorder="1"/>
    <xf numFmtId="4" fontId="27" fillId="2" borderId="72" xfId="0" applyNumberFormat="1" applyFont="1" applyFill="1" applyBorder="1"/>
    <xf numFmtId="0" fontId="4" fillId="0" borderId="23" xfId="0" applyFont="1" applyFill="1" applyBorder="1" applyAlignment="1">
      <alignment wrapText="1"/>
    </xf>
    <xf numFmtId="0" fontId="4" fillId="0" borderId="70" xfId="0" applyFont="1" applyFill="1" applyBorder="1"/>
    <xf numFmtId="0" fontId="2" fillId="0" borderId="23" xfId="0" applyFont="1" applyFill="1" applyBorder="1"/>
    <xf numFmtId="4" fontId="4" fillId="0" borderId="68" xfId="0" applyNumberFormat="1" applyFont="1" applyFill="1" applyBorder="1"/>
    <xf numFmtId="0" fontId="19" fillId="8" borderId="19" xfId="0" applyFont="1" applyFill="1" applyBorder="1" applyAlignment="1">
      <alignment wrapText="1"/>
    </xf>
    <xf numFmtId="0" fontId="19" fillId="0" borderId="10" xfId="0" applyFont="1" applyBorder="1" applyAlignment="1">
      <alignment wrapText="1"/>
    </xf>
    <xf numFmtId="4" fontId="4" fillId="16" borderId="43" xfId="0" applyNumberFormat="1" applyFont="1" applyFill="1" applyBorder="1" applyAlignment="1">
      <alignment horizontal="center" vertical="center"/>
    </xf>
    <xf numFmtId="4" fontId="2" fillId="9" borderId="19" xfId="0" applyNumberFormat="1" applyFont="1" applyFill="1" applyBorder="1" applyAlignment="1">
      <alignment horizontal="center" vertical="center" wrapText="1"/>
    </xf>
    <xf numFmtId="16" fontId="7" fillId="0" borderId="54" xfId="0" applyNumberFormat="1" applyFont="1" applyBorder="1" applyAlignment="1">
      <alignment horizontal="right"/>
    </xf>
    <xf numFmtId="16" fontId="7" fillId="0" borderId="65" xfId="0" applyNumberFormat="1" applyFont="1" applyBorder="1" applyAlignment="1">
      <alignment horizontal="right"/>
    </xf>
    <xf numFmtId="0" fontId="4" fillId="0" borderId="70" xfId="0" applyFont="1" applyFill="1" applyBorder="1" applyAlignment="1">
      <alignment wrapText="1"/>
    </xf>
    <xf numFmtId="0" fontId="7" fillId="0" borderId="41" xfId="0" applyFont="1" applyBorder="1" applyAlignment="1">
      <alignment horizontal="right"/>
    </xf>
    <xf numFmtId="0" fontId="4" fillId="0" borderId="41" xfId="0" applyFont="1" applyBorder="1" applyAlignment="1">
      <alignment wrapText="1"/>
    </xf>
    <xf numFmtId="0" fontId="4" fillId="0" borderId="24" xfId="0" applyFont="1" applyBorder="1" applyAlignment="1">
      <alignment wrapText="1"/>
    </xf>
    <xf numFmtId="4" fontId="2" fillId="0" borderId="66" xfId="0" applyNumberFormat="1" applyFont="1" applyFill="1" applyBorder="1"/>
    <xf numFmtId="4" fontId="2" fillId="0" borderId="24" xfId="0" applyNumberFormat="1" applyFont="1" applyFill="1" applyBorder="1"/>
    <xf numFmtId="4" fontId="2" fillId="0" borderId="46" xfId="0" applyNumberFormat="1" applyFont="1" applyFill="1" applyBorder="1"/>
    <xf numFmtId="4" fontId="2" fillId="0" borderId="25" xfId="0" applyNumberFormat="1" applyFont="1" applyFill="1" applyBorder="1"/>
    <xf numFmtId="4" fontId="2" fillId="0" borderId="67" xfId="0" applyNumberFormat="1" applyFont="1" applyFill="1" applyBorder="1"/>
    <xf numFmtId="4" fontId="2" fillId="16" borderId="46" xfId="0" applyNumberFormat="1" applyFont="1" applyFill="1" applyBorder="1" applyAlignment="1">
      <alignment horizontal="center" vertical="center"/>
    </xf>
    <xf numFmtId="4" fontId="2" fillId="0" borderId="66" xfId="0" applyNumberFormat="1" applyFont="1" applyFill="1" applyBorder="1" applyAlignment="1">
      <alignment horizontal="center" vertical="center" wrapText="1"/>
    </xf>
    <xf numFmtId="4" fontId="2" fillId="0" borderId="41" xfId="0" applyNumberFormat="1" applyFont="1" applyFill="1" applyBorder="1" applyAlignment="1">
      <alignment wrapText="1"/>
    </xf>
    <xf numFmtId="1" fontId="2" fillId="0" borderId="67" xfId="0" applyNumberFormat="1" applyFont="1" applyFill="1" applyBorder="1" applyAlignment="1">
      <alignment horizontal="center" vertical="center"/>
    </xf>
    <xf numFmtId="4" fontId="0" fillId="0" borderId="67" xfId="0" applyNumberFormat="1" applyBorder="1"/>
    <xf numFmtId="0" fontId="2" fillId="0" borderId="41" xfId="0" applyFont="1" applyBorder="1" applyAlignment="1">
      <alignment horizontal="right"/>
    </xf>
    <xf numFmtId="0" fontId="4" fillId="0" borderId="41" xfId="0" applyFont="1" applyBorder="1"/>
    <xf numFmtId="0" fontId="4" fillId="0" borderId="24" xfId="0" applyFont="1" applyBorder="1"/>
    <xf numFmtId="4" fontId="2" fillId="0" borderId="66" xfId="0" applyNumberFormat="1" applyFont="1" applyFill="1" applyBorder="1" applyAlignment="1">
      <alignment horizontal="center" vertical="center"/>
    </xf>
    <xf numFmtId="0" fontId="23" fillId="8" borderId="18" xfId="0" applyNumberFormat="1" applyFont="1" applyFill="1" applyBorder="1" applyAlignment="1">
      <alignment horizontal="center" wrapText="1"/>
    </xf>
    <xf numFmtId="4" fontId="2" fillId="10" borderId="19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wrapText="1"/>
    </xf>
    <xf numFmtId="4" fontId="22" fillId="0" borderId="68" xfId="0" applyNumberFormat="1" applyFont="1" applyFill="1" applyBorder="1"/>
    <xf numFmtId="0" fontId="0" fillId="0" borderId="67" xfId="0" applyBorder="1"/>
    <xf numFmtId="4" fontId="2" fillId="8" borderId="19" xfId="0" applyNumberFormat="1" applyFont="1" applyFill="1" applyBorder="1" applyAlignment="1">
      <alignment horizontal="center" vertical="center" wrapText="1"/>
    </xf>
    <xf numFmtId="0" fontId="4" fillId="0" borderId="23" xfId="0" applyFont="1" applyFill="1" applyBorder="1"/>
    <xf numFmtId="4" fontId="37" fillId="0" borderId="70" xfId="0" applyNumberFormat="1" applyFont="1" applyFill="1" applyBorder="1" applyAlignment="1">
      <alignment horizontal="center" vertical="center"/>
    </xf>
    <xf numFmtId="0" fontId="8" fillId="0" borderId="68" xfId="0" applyFont="1" applyBorder="1"/>
    <xf numFmtId="4" fontId="2" fillId="2" borderId="18" xfId="0" applyNumberFormat="1" applyFont="1" applyFill="1" applyBorder="1"/>
    <xf numFmtId="0" fontId="4" fillId="0" borderId="23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7" fillId="0" borderId="5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0" fontId="35" fillId="0" borderId="57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0" fillId="0" borderId="0" xfId="3" applyFont="1" applyAlignment="1">
      <alignment horizontal="center" vertical="center"/>
    </xf>
    <xf numFmtId="0" fontId="0" fillId="0" borderId="57" xfId="0" applyBorder="1" applyAlignment="1">
      <alignment horizontal="center"/>
    </xf>
    <xf numFmtId="0" fontId="9" fillId="0" borderId="0" xfId="3" applyAlignment="1">
      <alignment horizontal="center"/>
    </xf>
    <xf numFmtId="0" fontId="10" fillId="0" borderId="0" xfId="3" applyFont="1" applyAlignment="1">
      <alignment horizontal="center"/>
    </xf>
    <xf numFmtId="0" fontId="9" fillId="0" borderId="1" xfId="3" applyBorder="1" applyAlignment="1">
      <alignment horizontal="center"/>
    </xf>
    <xf numFmtId="0" fontId="9" fillId="0" borderId="57" xfId="3" applyBorder="1" applyAlignment="1">
      <alignment horizontal="center" vertical="center"/>
    </xf>
    <xf numFmtId="0" fontId="9" fillId="0" borderId="57" xfId="3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27" fillId="0" borderId="0" xfId="0" applyFont="1" applyAlignment="1">
      <alignment horizontal="center"/>
    </xf>
    <xf numFmtId="0" fontId="44" fillId="0" borderId="47" xfId="0" applyFont="1" applyBorder="1" applyAlignment="1">
      <alignment horizontal="justify" vertical="center" wrapText="1"/>
    </xf>
    <xf numFmtId="0" fontId="44" fillId="0" borderId="63" xfId="0" applyFont="1" applyBorder="1" applyAlignment="1">
      <alignment horizontal="justify" vertical="center" wrapText="1"/>
    </xf>
    <xf numFmtId="0" fontId="41" fillId="0" borderId="47" xfId="0" applyFont="1" applyBorder="1" applyAlignment="1">
      <alignment horizontal="justify" vertical="center" wrapText="1"/>
    </xf>
    <xf numFmtId="0" fontId="41" fillId="0" borderId="63" xfId="0" applyFont="1" applyBorder="1" applyAlignment="1">
      <alignment horizontal="justify" vertical="center" wrapText="1"/>
    </xf>
    <xf numFmtId="0" fontId="45" fillId="0" borderId="47" xfId="0" applyFont="1" applyBorder="1" applyAlignment="1">
      <alignment vertical="center" wrapText="1"/>
    </xf>
    <xf numFmtId="0" fontId="45" fillId="0" borderId="63" xfId="0" applyFont="1" applyBorder="1" applyAlignment="1">
      <alignment vertical="center" wrapText="1"/>
    </xf>
    <xf numFmtId="3" fontId="44" fillId="0" borderId="47" xfId="0" applyNumberFormat="1" applyFont="1" applyBorder="1" applyAlignment="1">
      <alignment horizontal="justify" vertical="center" wrapText="1"/>
    </xf>
    <xf numFmtId="3" fontId="44" fillId="0" borderId="63" xfId="0" applyNumberFormat="1" applyFont="1" applyBorder="1" applyAlignment="1">
      <alignment horizontal="justify" vertical="center" wrapText="1"/>
    </xf>
    <xf numFmtId="3" fontId="44" fillId="0" borderId="46" xfId="0" applyNumberFormat="1" applyFont="1" applyBorder="1" applyAlignment="1">
      <alignment horizontal="justify" vertical="center" wrapText="1"/>
    </xf>
    <xf numFmtId="0" fontId="44" fillId="0" borderId="46" xfId="0" applyFont="1" applyBorder="1" applyAlignment="1">
      <alignment horizontal="justify" vertical="center" wrapText="1"/>
    </xf>
    <xf numFmtId="0" fontId="41" fillId="0" borderId="46" xfId="0" applyFont="1" applyBorder="1" applyAlignment="1">
      <alignment horizontal="justify" vertical="center" wrapText="1"/>
    </xf>
    <xf numFmtId="4" fontId="7" fillId="0" borderId="0" xfId="0" applyNumberFormat="1" applyFont="1" applyFill="1" applyBorder="1"/>
    <xf numFmtId="0" fontId="7" fillId="0" borderId="5" xfId="0" applyFont="1" applyBorder="1" applyAlignment="1">
      <alignment horizontal="right"/>
    </xf>
    <xf numFmtId="0" fontId="48" fillId="0" borderId="7" xfId="0" applyFont="1" applyBorder="1" applyAlignment="1">
      <alignment wrapText="1"/>
    </xf>
    <xf numFmtId="4" fontId="7" fillId="0" borderId="7" xfId="0" applyNumberFormat="1" applyFont="1" applyFill="1" applyBorder="1"/>
    <xf numFmtId="4" fontId="7" fillId="0" borderId="7" xfId="0" applyNumberFormat="1" applyFont="1" applyFill="1" applyBorder="1" applyAlignment="1">
      <alignment horizontal="center" vertical="center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wrapText="1"/>
    </xf>
    <xf numFmtId="1" fontId="7" fillId="0" borderId="7" xfId="0" applyNumberFormat="1" applyFont="1" applyFill="1" applyBorder="1" applyAlignment="1">
      <alignment horizontal="center" vertical="center"/>
    </xf>
    <xf numFmtId="4" fontId="27" fillId="0" borderId="6" xfId="0" applyNumberFormat="1" applyFont="1" applyBorder="1"/>
    <xf numFmtId="4" fontId="49" fillId="0" borderId="0" xfId="0" applyNumberFormat="1" applyFont="1" applyFill="1" applyBorder="1"/>
  </cellXfs>
  <cellStyles count="6">
    <cellStyle name="Navadno" xfId="0" builtinId="0"/>
    <cellStyle name="Navadno 2" xfId="2" xr:uid="{00000000-0005-0000-0000-000001000000}"/>
    <cellStyle name="Navadno 2 2" xfId="4" xr:uid="{00000000-0005-0000-0000-000002000000}"/>
    <cellStyle name="Navadno 3" xfId="1" xr:uid="{00000000-0005-0000-0000-000003000000}"/>
    <cellStyle name="Navadno 4" xfId="3" xr:uid="{00000000-0005-0000-0000-000004000000}"/>
    <cellStyle name="Normal 2" xfId="5" xr:uid="{A0AC6630-15F2-4F87-A12D-FCB7BCB211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7"/>
  <sheetViews>
    <sheetView tabSelected="1" zoomScale="80" zoomScaleNormal="80" workbookViewId="0">
      <pane xSplit="4" ySplit="6" topLeftCell="E7" activePane="bottomRight" state="frozen"/>
      <selection pane="topRight" activeCell="D1" sqref="D1"/>
      <selection pane="bottomLeft" activeCell="A7" sqref="A7"/>
      <selection pane="bottomRight" activeCell="E100" sqref="E100"/>
    </sheetView>
  </sheetViews>
  <sheetFormatPr defaultRowHeight="14.4" x14ac:dyDescent="0.3"/>
  <cols>
    <col min="1" max="1" width="9.109375" style="25"/>
    <col min="2" max="2" width="17.88671875" style="159" customWidth="1"/>
    <col min="3" max="3" width="48.5546875" customWidth="1"/>
    <col min="4" max="4" width="53.109375" customWidth="1"/>
    <col min="5" max="5" width="15.44140625" customWidth="1"/>
    <col min="6" max="7" width="13.109375" style="25" customWidth="1"/>
    <col min="8" max="8" width="13.109375" customWidth="1"/>
    <col min="9" max="9" width="14.5546875" style="25" customWidth="1"/>
    <col min="10" max="10" width="11.5546875" style="25" customWidth="1"/>
    <col min="11" max="11" width="15.5546875" customWidth="1"/>
    <col min="12" max="12" width="12.5546875" customWidth="1"/>
    <col min="13" max="13" width="9.6640625" style="9" customWidth="1"/>
    <col min="14" max="14" width="14.44140625" style="9" customWidth="1"/>
    <col min="15" max="15" width="13.6640625" customWidth="1"/>
    <col min="16" max="16" width="13.5546875" customWidth="1"/>
    <col min="17" max="18" width="13.5546875" style="25" customWidth="1"/>
    <col min="19" max="20" width="14.33203125" style="25" customWidth="1"/>
    <col min="21" max="21" width="13.6640625" customWidth="1"/>
    <col min="22" max="23" width="13.33203125" customWidth="1"/>
    <col min="24" max="24" width="13.6640625" customWidth="1"/>
    <col min="25" max="25" width="10.6640625" customWidth="1"/>
    <col min="261" max="261" width="6.44140625" customWidth="1"/>
    <col min="262" max="262" width="29.109375" customWidth="1"/>
    <col min="263" max="264" width="14.88671875" customWidth="1"/>
    <col min="265" max="266" width="14.33203125" customWidth="1"/>
    <col min="267" max="268" width="13" customWidth="1"/>
    <col min="269" max="269" width="13.33203125" customWidth="1"/>
    <col min="270" max="270" width="16.5546875" customWidth="1"/>
    <col min="271" max="273" width="13.33203125" customWidth="1"/>
    <col min="274" max="274" width="12.88671875" customWidth="1"/>
    <col min="275" max="275" width="14.109375" customWidth="1"/>
    <col min="517" max="517" width="6.44140625" customWidth="1"/>
    <col min="518" max="518" width="29.109375" customWidth="1"/>
    <col min="519" max="520" width="14.88671875" customWidth="1"/>
    <col min="521" max="522" width="14.33203125" customWidth="1"/>
    <col min="523" max="524" width="13" customWidth="1"/>
    <col min="525" max="525" width="13.33203125" customWidth="1"/>
    <col min="526" max="526" width="16.5546875" customWidth="1"/>
    <col min="527" max="529" width="13.33203125" customWidth="1"/>
    <col min="530" max="530" width="12.88671875" customWidth="1"/>
    <col min="531" max="531" width="14.109375" customWidth="1"/>
    <col min="773" max="773" width="6.44140625" customWidth="1"/>
    <col min="774" max="774" width="29.109375" customWidth="1"/>
    <col min="775" max="776" width="14.88671875" customWidth="1"/>
    <col min="777" max="778" width="14.33203125" customWidth="1"/>
    <col min="779" max="780" width="13" customWidth="1"/>
    <col min="781" max="781" width="13.33203125" customWidth="1"/>
    <col min="782" max="782" width="16.5546875" customWidth="1"/>
    <col min="783" max="785" width="13.33203125" customWidth="1"/>
    <col min="786" max="786" width="12.88671875" customWidth="1"/>
    <col min="787" max="787" width="14.109375" customWidth="1"/>
    <col min="1029" max="1029" width="6.44140625" customWidth="1"/>
    <col min="1030" max="1030" width="29.109375" customWidth="1"/>
    <col min="1031" max="1032" width="14.88671875" customWidth="1"/>
    <col min="1033" max="1034" width="14.33203125" customWidth="1"/>
    <col min="1035" max="1036" width="13" customWidth="1"/>
    <col min="1037" max="1037" width="13.33203125" customWidth="1"/>
    <col min="1038" max="1038" width="16.5546875" customWidth="1"/>
    <col min="1039" max="1041" width="13.33203125" customWidth="1"/>
    <col min="1042" max="1042" width="12.88671875" customWidth="1"/>
    <col min="1043" max="1043" width="14.109375" customWidth="1"/>
    <col min="1285" max="1285" width="6.44140625" customWidth="1"/>
    <col min="1286" max="1286" width="29.109375" customWidth="1"/>
    <col min="1287" max="1288" width="14.88671875" customWidth="1"/>
    <col min="1289" max="1290" width="14.33203125" customWidth="1"/>
    <col min="1291" max="1292" width="13" customWidth="1"/>
    <col min="1293" max="1293" width="13.33203125" customWidth="1"/>
    <col min="1294" max="1294" width="16.5546875" customWidth="1"/>
    <col min="1295" max="1297" width="13.33203125" customWidth="1"/>
    <col min="1298" max="1298" width="12.88671875" customWidth="1"/>
    <col min="1299" max="1299" width="14.109375" customWidth="1"/>
    <col min="1541" max="1541" width="6.44140625" customWidth="1"/>
    <col min="1542" max="1542" width="29.109375" customWidth="1"/>
    <col min="1543" max="1544" width="14.88671875" customWidth="1"/>
    <col min="1545" max="1546" width="14.33203125" customWidth="1"/>
    <col min="1547" max="1548" width="13" customWidth="1"/>
    <col min="1549" max="1549" width="13.33203125" customWidth="1"/>
    <col min="1550" max="1550" width="16.5546875" customWidth="1"/>
    <col min="1551" max="1553" width="13.33203125" customWidth="1"/>
    <col min="1554" max="1554" width="12.88671875" customWidth="1"/>
    <col min="1555" max="1555" width="14.109375" customWidth="1"/>
    <col min="1797" max="1797" width="6.44140625" customWidth="1"/>
    <col min="1798" max="1798" width="29.109375" customWidth="1"/>
    <col min="1799" max="1800" width="14.88671875" customWidth="1"/>
    <col min="1801" max="1802" width="14.33203125" customWidth="1"/>
    <col min="1803" max="1804" width="13" customWidth="1"/>
    <col min="1805" max="1805" width="13.33203125" customWidth="1"/>
    <col min="1806" max="1806" width="16.5546875" customWidth="1"/>
    <col min="1807" max="1809" width="13.33203125" customWidth="1"/>
    <col min="1810" max="1810" width="12.88671875" customWidth="1"/>
    <col min="1811" max="1811" width="14.109375" customWidth="1"/>
    <col min="2053" max="2053" width="6.44140625" customWidth="1"/>
    <col min="2054" max="2054" width="29.109375" customWidth="1"/>
    <col min="2055" max="2056" width="14.88671875" customWidth="1"/>
    <col min="2057" max="2058" width="14.33203125" customWidth="1"/>
    <col min="2059" max="2060" width="13" customWidth="1"/>
    <col min="2061" max="2061" width="13.33203125" customWidth="1"/>
    <col min="2062" max="2062" width="16.5546875" customWidth="1"/>
    <col min="2063" max="2065" width="13.33203125" customWidth="1"/>
    <col min="2066" max="2066" width="12.88671875" customWidth="1"/>
    <col min="2067" max="2067" width="14.109375" customWidth="1"/>
    <col min="2309" max="2309" width="6.44140625" customWidth="1"/>
    <col min="2310" max="2310" width="29.109375" customWidth="1"/>
    <col min="2311" max="2312" width="14.88671875" customWidth="1"/>
    <col min="2313" max="2314" width="14.33203125" customWidth="1"/>
    <col min="2315" max="2316" width="13" customWidth="1"/>
    <col min="2317" max="2317" width="13.33203125" customWidth="1"/>
    <col min="2318" max="2318" width="16.5546875" customWidth="1"/>
    <col min="2319" max="2321" width="13.33203125" customWidth="1"/>
    <col min="2322" max="2322" width="12.88671875" customWidth="1"/>
    <col min="2323" max="2323" width="14.109375" customWidth="1"/>
    <col min="2565" max="2565" width="6.44140625" customWidth="1"/>
    <col min="2566" max="2566" width="29.109375" customWidth="1"/>
    <col min="2567" max="2568" width="14.88671875" customWidth="1"/>
    <col min="2569" max="2570" width="14.33203125" customWidth="1"/>
    <col min="2571" max="2572" width="13" customWidth="1"/>
    <col min="2573" max="2573" width="13.33203125" customWidth="1"/>
    <col min="2574" max="2574" width="16.5546875" customWidth="1"/>
    <col min="2575" max="2577" width="13.33203125" customWidth="1"/>
    <col min="2578" max="2578" width="12.88671875" customWidth="1"/>
    <col min="2579" max="2579" width="14.109375" customWidth="1"/>
    <col min="2821" max="2821" width="6.44140625" customWidth="1"/>
    <col min="2822" max="2822" width="29.109375" customWidth="1"/>
    <col min="2823" max="2824" width="14.88671875" customWidth="1"/>
    <col min="2825" max="2826" width="14.33203125" customWidth="1"/>
    <col min="2827" max="2828" width="13" customWidth="1"/>
    <col min="2829" max="2829" width="13.33203125" customWidth="1"/>
    <col min="2830" max="2830" width="16.5546875" customWidth="1"/>
    <col min="2831" max="2833" width="13.33203125" customWidth="1"/>
    <col min="2834" max="2834" width="12.88671875" customWidth="1"/>
    <col min="2835" max="2835" width="14.109375" customWidth="1"/>
    <col min="3077" max="3077" width="6.44140625" customWidth="1"/>
    <col min="3078" max="3078" width="29.109375" customWidth="1"/>
    <col min="3079" max="3080" width="14.88671875" customWidth="1"/>
    <col min="3081" max="3082" width="14.33203125" customWidth="1"/>
    <col min="3083" max="3084" width="13" customWidth="1"/>
    <col min="3085" max="3085" width="13.33203125" customWidth="1"/>
    <col min="3086" max="3086" width="16.5546875" customWidth="1"/>
    <col min="3087" max="3089" width="13.33203125" customWidth="1"/>
    <col min="3090" max="3090" width="12.88671875" customWidth="1"/>
    <col min="3091" max="3091" width="14.109375" customWidth="1"/>
    <col min="3333" max="3333" width="6.44140625" customWidth="1"/>
    <col min="3334" max="3334" width="29.109375" customWidth="1"/>
    <col min="3335" max="3336" width="14.88671875" customWidth="1"/>
    <col min="3337" max="3338" width="14.33203125" customWidth="1"/>
    <col min="3339" max="3340" width="13" customWidth="1"/>
    <col min="3341" max="3341" width="13.33203125" customWidth="1"/>
    <col min="3342" max="3342" width="16.5546875" customWidth="1"/>
    <col min="3343" max="3345" width="13.33203125" customWidth="1"/>
    <col min="3346" max="3346" width="12.88671875" customWidth="1"/>
    <col min="3347" max="3347" width="14.109375" customWidth="1"/>
    <col min="3589" max="3589" width="6.44140625" customWidth="1"/>
    <col min="3590" max="3590" width="29.109375" customWidth="1"/>
    <col min="3591" max="3592" width="14.88671875" customWidth="1"/>
    <col min="3593" max="3594" width="14.33203125" customWidth="1"/>
    <col min="3595" max="3596" width="13" customWidth="1"/>
    <col min="3597" max="3597" width="13.33203125" customWidth="1"/>
    <col min="3598" max="3598" width="16.5546875" customWidth="1"/>
    <col min="3599" max="3601" width="13.33203125" customWidth="1"/>
    <col min="3602" max="3602" width="12.88671875" customWidth="1"/>
    <col min="3603" max="3603" width="14.109375" customWidth="1"/>
    <col min="3845" max="3845" width="6.44140625" customWidth="1"/>
    <col min="3846" max="3846" width="29.109375" customWidth="1"/>
    <col min="3847" max="3848" width="14.88671875" customWidth="1"/>
    <col min="3849" max="3850" width="14.33203125" customWidth="1"/>
    <col min="3851" max="3852" width="13" customWidth="1"/>
    <col min="3853" max="3853" width="13.33203125" customWidth="1"/>
    <col min="3854" max="3854" width="16.5546875" customWidth="1"/>
    <col min="3855" max="3857" width="13.33203125" customWidth="1"/>
    <col min="3858" max="3858" width="12.88671875" customWidth="1"/>
    <col min="3859" max="3859" width="14.109375" customWidth="1"/>
    <col min="4101" max="4101" width="6.44140625" customWidth="1"/>
    <col min="4102" max="4102" width="29.109375" customWidth="1"/>
    <col min="4103" max="4104" width="14.88671875" customWidth="1"/>
    <col min="4105" max="4106" width="14.33203125" customWidth="1"/>
    <col min="4107" max="4108" width="13" customWidth="1"/>
    <col min="4109" max="4109" width="13.33203125" customWidth="1"/>
    <col min="4110" max="4110" width="16.5546875" customWidth="1"/>
    <col min="4111" max="4113" width="13.33203125" customWidth="1"/>
    <col min="4114" max="4114" width="12.88671875" customWidth="1"/>
    <col min="4115" max="4115" width="14.109375" customWidth="1"/>
    <col min="4357" max="4357" width="6.44140625" customWidth="1"/>
    <col min="4358" max="4358" width="29.109375" customWidth="1"/>
    <col min="4359" max="4360" width="14.88671875" customWidth="1"/>
    <col min="4361" max="4362" width="14.33203125" customWidth="1"/>
    <col min="4363" max="4364" width="13" customWidth="1"/>
    <col min="4365" max="4365" width="13.33203125" customWidth="1"/>
    <col min="4366" max="4366" width="16.5546875" customWidth="1"/>
    <col min="4367" max="4369" width="13.33203125" customWidth="1"/>
    <col min="4370" max="4370" width="12.88671875" customWidth="1"/>
    <col min="4371" max="4371" width="14.109375" customWidth="1"/>
    <col min="4613" max="4613" width="6.44140625" customWidth="1"/>
    <col min="4614" max="4614" width="29.109375" customWidth="1"/>
    <col min="4615" max="4616" width="14.88671875" customWidth="1"/>
    <col min="4617" max="4618" width="14.33203125" customWidth="1"/>
    <col min="4619" max="4620" width="13" customWidth="1"/>
    <col min="4621" max="4621" width="13.33203125" customWidth="1"/>
    <col min="4622" max="4622" width="16.5546875" customWidth="1"/>
    <col min="4623" max="4625" width="13.33203125" customWidth="1"/>
    <col min="4626" max="4626" width="12.88671875" customWidth="1"/>
    <col min="4627" max="4627" width="14.109375" customWidth="1"/>
    <col min="4869" max="4869" width="6.44140625" customWidth="1"/>
    <col min="4870" max="4870" width="29.109375" customWidth="1"/>
    <col min="4871" max="4872" width="14.88671875" customWidth="1"/>
    <col min="4873" max="4874" width="14.33203125" customWidth="1"/>
    <col min="4875" max="4876" width="13" customWidth="1"/>
    <col min="4877" max="4877" width="13.33203125" customWidth="1"/>
    <col min="4878" max="4878" width="16.5546875" customWidth="1"/>
    <col min="4879" max="4881" width="13.33203125" customWidth="1"/>
    <col min="4882" max="4882" width="12.88671875" customWidth="1"/>
    <col min="4883" max="4883" width="14.109375" customWidth="1"/>
    <col min="5125" max="5125" width="6.44140625" customWidth="1"/>
    <col min="5126" max="5126" width="29.109375" customWidth="1"/>
    <col min="5127" max="5128" width="14.88671875" customWidth="1"/>
    <col min="5129" max="5130" width="14.33203125" customWidth="1"/>
    <col min="5131" max="5132" width="13" customWidth="1"/>
    <col min="5133" max="5133" width="13.33203125" customWidth="1"/>
    <col min="5134" max="5134" width="16.5546875" customWidth="1"/>
    <col min="5135" max="5137" width="13.33203125" customWidth="1"/>
    <col min="5138" max="5138" width="12.88671875" customWidth="1"/>
    <col min="5139" max="5139" width="14.109375" customWidth="1"/>
    <col min="5381" max="5381" width="6.44140625" customWidth="1"/>
    <col min="5382" max="5382" width="29.109375" customWidth="1"/>
    <col min="5383" max="5384" width="14.88671875" customWidth="1"/>
    <col min="5385" max="5386" width="14.33203125" customWidth="1"/>
    <col min="5387" max="5388" width="13" customWidth="1"/>
    <col min="5389" max="5389" width="13.33203125" customWidth="1"/>
    <col min="5390" max="5390" width="16.5546875" customWidth="1"/>
    <col min="5391" max="5393" width="13.33203125" customWidth="1"/>
    <col min="5394" max="5394" width="12.88671875" customWidth="1"/>
    <col min="5395" max="5395" width="14.109375" customWidth="1"/>
    <col min="5637" max="5637" width="6.44140625" customWidth="1"/>
    <col min="5638" max="5638" width="29.109375" customWidth="1"/>
    <col min="5639" max="5640" width="14.88671875" customWidth="1"/>
    <col min="5641" max="5642" width="14.33203125" customWidth="1"/>
    <col min="5643" max="5644" width="13" customWidth="1"/>
    <col min="5645" max="5645" width="13.33203125" customWidth="1"/>
    <col min="5646" max="5646" width="16.5546875" customWidth="1"/>
    <col min="5647" max="5649" width="13.33203125" customWidth="1"/>
    <col min="5650" max="5650" width="12.88671875" customWidth="1"/>
    <col min="5651" max="5651" width="14.109375" customWidth="1"/>
    <col min="5893" max="5893" width="6.44140625" customWidth="1"/>
    <col min="5894" max="5894" width="29.109375" customWidth="1"/>
    <col min="5895" max="5896" width="14.88671875" customWidth="1"/>
    <col min="5897" max="5898" width="14.33203125" customWidth="1"/>
    <col min="5899" max="5900" width="13" customWidth="1"/>
    <col min="5901" max="5901" width="13.33203125" customWidth="1"/>
    <col min="5902" max="5902" width="16.5546875" customWidth="1"/>
    <col min="5903" max="5905" width="13.33203125" customWidth="1"/>
    <col min="5906" max="5906" width="12.88671875" customWidth="1"/>
    <col min="5907" max="5907" width="14.109375" customWidth="1"/>
    <col min="6149" max="6149" width="6.44140625" customWidth="1"/>
    <col min="6150" max="6150" width="29.109375" customWidth="1"/>
    <col min="6151" max="6152" width="14.88671875" customWidth="1"/>
    <col min="6153" max="6154" width="14.33203125" customWidth="1"/>
    <col min="6155" max="6156" width="13" customWidth="1"/>
    <col min="6157" max="6157" width="13.33203125" customWidth="1"/>
    <col min="6158" max="6158" width="16.5546875" customWidth="1"/>
    <col min="6159" max="6161" width="13.33203125" customWidth="1"/>
    <col min="6162" max="6162" width="12.88671875" customWidth="1"/>
    <col min="6163" max="6163" width="14.109375" customWidth="1"/>
    <col min="6405" max="6405" width="6.44140625" customWidth="1"/>
    <col min="6406" max="6406" width="29.109375" customWidth="1"/>
    <col min="6407" max="6408" width="14.88671875" customWidth="1"/>
    <col min="6409" max="6410" width="14.33203125" customWidth="1"/>
    <col min="6411" max="6412" width="13" customWidth="1"/>
    <col min="6413" max="6413" width="13.33203125" customWidth="1"/>
    <col min="6414" max="6414" width="16.5546875" customWidth="1"/>
    <col min="6415" max="6417" width="13.33203125" customWidth="1"/>
    <col min="6418" max="6418" width="12.88671875" customWidth="1"/>
    <col min="6419" max="6419" width="14.109375" customWidth="1"/>
    <col min="6661" max="6661" width="6.44140625" customWidth="1"/>
    <col min="6662" max="6662" width="29.109375" customWidth="1"/>
    <col min="6663" max="6664" width="14.88671875" customWidth="1"/>
    <col min="6665" max="6666" width="14.33203125" customWidth="1"/>
    <col min="6667" max="6668" width="13" customWidth="1"/>
    <col min="6669" max="6669" width="13.33203125" customWidth="1"/>
    <col min="6670" max="6670" width="16.5546875" customWidth="1"/>
    <col min="6671" max="6673" width="13.33203125" customWidth="1"/>
    <col min="6674" max="6674" width="12.88671875" customWidth="1"/>
    <col min="6675" max="6675" width="14.109375" customWidth="1"/>
    <col min="6917" max="6917" width="6.44140625" customWidth="1"/>
    <col min="6918" max="6918" width="29.109375" customWidth="1"/>
    <col min="6919" max="6920" width="14.88671875" customWidth="1"/>
    <col min="6921" max="6922" width="14.33203125" customWidth="1"/>
    <col min="6923" max="6924" width="13" customWidth="1"/>
    <col min="6925" max="6925" width="13.33203125" customWidth="1"/>
    <col min="6926" max="6926" width="16.5546875" customWidth="1"/>
    <col min="6927" max="6929" width="13.33203125" customWidth="1"/>
    <col min="6930" max="6930" width="12.88671875" customWidth="1"/>
    <col min="6931" max="6931" width="14.109375" customWidth="1"/>
    <col min="7173" max="7173" width="6.44140625" customWidth="1"/>
    <col min="7174" max="7174" width="29.109375" customWidth="1"/>
    <col min="7175" max="7176" width="14.88671875" customWidth="1"/>
    <col min="7177" max="7178" width="14.33203125" customWidth="1"/>
    <col min="7179" max="7180" width="13" customWidth="1"/>
    <col min="7181" max="7181" width="13.33203125" customWidth="1"/>
    <col min="7182" max="7182" width="16.5546875" customWidth="1"/>
    <col min="7183" max="7185" width="13.33203125" customWidth="1"/>
    <col min="7186" max="7186" width="12.88671875" customWidth="1"/>
    <col min="7187" max="7187" width="14.109375" customWidth="1"/>
    <col min="7429" max="7429" width="6.44140625" customWidth="1"/>
    <col min="7430" max="7430" width="29.109375" customWidth="1"/>
    <col min="7431" max="7432" width="14.88671875" customWidth="1"/>
    <col min="7433" max="7434" width="14.33203125" customWidth="1"/>
    <col min="7435" max="7436" width="13" customWidth="1"/>
    <col min="7437" max="7437" width="13.33203125" customWidth="1"/>
    <col min="7438" max="7438" width="16.5546875" customWidth="1"/>
    <col min="7439" max="7441" width="13.33203125" customWidth="1"/>
    <col min="7442" max="7442" width="12.88671875" customWidth="1"/>
    <col min="7443" max="7443" width="14.109375" customWidth="1"/>
    <col min="7685" max="7685" width="6.44140625" customWidth="1"/>
    <col min="7686" max="7686" width="29.109375" customWidth="1"/>
    <col min="7687" max="7688" width="14.88671875" customWidth="1"/>
    <col min="7689" max="7690" width="14.33203125" customWidth="1"/>
    <col min="7691" max="7692" width="13" customWidth="1"/>
    <col min="7693" max="7693" width="13.33203125" customWidth="1"/>
    <col min="7694" max="7694" width="16.5546875" customWidth="1"/>
    <col min="7695" max="7697" width="13.33203125" customWidth="1"/>
    <col min="7698" max="7698" width="12.88671875" customWidth="1"/>
    <col min="7699" max="7699" width="14.109375" customWidth="1"/>
    <col min="7941" max="7941" width="6.44140625" customWidth="1"/>
    <col min="7942" max="7942" width="29.109375" customWidth="1"/>
    <col min="7943" max="7944" width="14.88671875" customWidth="1"/>
    <col min="7945" max="7946" width="14.33203125" customWidth="1"/>
    <col min="7947" max="7948" width="13" customWidth="1"/>
    <col min="7949" max="7949" width="13.33203125" customWidth="1"/>
    <col min="7950" max="7950" width="16.5546875" customWidth="1"/>
    <col min="7951" max="7953" width="13.33203125" customWidth="1"/>
    <col min="7954" max="7954" width="12.88671875" customWidth="1"/>
    <col min="7955" max="7955" width="14.109375" customWidth="1"/>
    <col min="8197" max="8197" width="6.44140625" customWidth="1"/>
    <col min="8198" max="8198" width="29.109375" customWidth="1"/>
    <col min="8199" max="8200" width="14.88671875" customWidth="1"/>
    <col min="8201" max="8202" width="14.33203125" customWidth="1"/>
    <col min="8203" max="8204" width="13" customWidth="1"/>
    <col min="8205" max="8205" width="13.33203125" customWidth="1"/>
    <col min="8206" max="8206" width="16.5546875" customWidth="1"/>
    <col min="8207" max="8209" width="13.33203125" customWidth="1"/>
    <col min="8210" max="8210" width="12.88671875" customWidth="1"/>
    <col min="8211" max="8211" width="14.109375" customWidth="1"/>
    <col min="8453" max="8453" width="6.44140625" customWidth="1"/>
    <col min="8454" max="8454" width="29.109375" customWidth="1"/>
    <col min="8455" max="8456" width="14.88671875" customWidth="1"/>
    <col min="8457" max="8458" width="14.33203125" customWidth="1"/>
    <col min="8459" max="8460" width="13" customWidth="1"/>
    <col min="8461" max="8461" width="13.33203125" customWidth="1"/>
    <col min="8462" max="8462" width="16.5546875" customWidth="1"/>
    <col min="8463" max="8465" width="13.33203125" customWidth="1"/>
    <col min="8466" max="8466" width="12.88671875" customWidth="1"/>
    <col min="8467" max="8467" width="14.109375" customWidth="1"/>
    <col min="8709" max="8709" width="6.44140625" customWidth="1"/>
    <col min="8710" max="8710" width="29.109375" customWidth="1"/>
    <col min="8711" max="8712" width="14.88671875" customWidth="1"/>
    <col min="8713" max="8714" width="14.33203125" customWidth="1"/>
    <col min="8715" max="8716" width="13" customWidth="1"/>
    <col min="8717" max="8717" width="13.33203125" customWidth="1"/>
    <col min="8718" max="8718" width="16.5546875" customWidth="1"/>
    <col min="8719" max="8721" width="13.33203125" customWidth="1"/>
    <col min="8722" max="8722" width="12.88671875" customWidth="1"/>
    <col min="8723" max="8723" width="14.109375" customWidth="1"/>
    <col min="8965" max="8965" width="6.44140625" customWidth="1"/>
    <col min="8966" max="8966" width="29.109375" customWidth="1"/>
    <col min="8967" max="8968" width="14.88671875" customWidth="1"/>
    <col min="8969" max="8970" width="14.33203125" customWidth="1"/>
    <col min="8971" max="8972" width="13" customWidth="1"/>
    <col min="8973" max="8973" width="13.33203125" customWidth="1"/>
    <col min="8974" max="8974" width="16.5546875" customWidth="1"/>
    <col min="8975" max="8977" width="13.33203125" customWidth="1"/>
    <col min="8978" max="8978" width="12.88671875" customWidth="1"/>
    <col min="8979" max="8979" width="14.109375" customWidth="1"/>
    <col min="9221" max="9221" width="6.44140625" customWidth="1"/>
    <col min="9222" max="9222" width="29.109375" customWidth="1"/>
    <col min="9223" max="9224" width="14.88671875" customWidth="1"/>
    <col min="9225" max="9226" width="14.33203125" customWidth="1"/>
    <col min="9227" max="9228" width="13" customWidth="1"/>
    <col min="9229" max="9229" width="13.33203125" customWidth="1"/>
    <col min="9230" max="9230" width="16.5546875" customWidth="1"/>
    <col min="9231" max="9233" width="13.33203125" customWidth="1"/>
    <col min="9234" max="9234" width="12.88671875" customWidth="1"/>
    <col min="9235" max="9235" width="14.109375" customWidth="1"/>
    <col min="9477" max="9477" width="6.44140625" customWidth="1"/>
    <col min="9478" max="9478" width="29.109375" customWidth="1"/>
    <col min="9479" max="9480" width="14.88671875" customWidth="1"/>
    <col min="9481" max="9482" width="14.33203125" customWidth="1"/>
    <col min="9483" max="9484" width="13" customWidth="1"/>
    <col min="9485" max="9485" width="13.33203125" customWidth="1"/>
    <col min="9486" max="9486" width="16.5546875" customWidth="1"/>
    <col min="9487" max="9489" width="13.33203125" customWidth="1"/>
    <col min="9490" max="9490" width="12.88671875" customWidth="1"/>
    <col min="9491" max="9491" width="14.109375" customWidth="1"/>
    <col min="9733" max="9733" width="6.44140625" customWidth="1"/>
    <col min="9734" max="9734" width="29.109375" customWidth="1"/>
    <col min="9735" max="9736" width="14.88671875" customWidth="1"/>
    <col min="9737" max="9738" width="14.33203125" customWidth="1"/>
    <col min="9739" max="9740" width="13" customWidth="1"/>
    <col min="9741" max="9741" width="13.33203125" customWidth="1"/>
    <col min="9742" max="9742" width="16.5546875" customWidth="1"/>
    <col min="9743" max="9745" width="13.33203125" customWidth="1"/>
    <col min="9746" max="9746" width="12.88671875" customWidth="1"/>
    <col min="9747" max="9747" width="14.109375" customWidth="1"/>
    <col min="9989" max="9989" width="6.44140625" customWidth="1"/>
    <col min="9990" max="9990" width="29.109375" customWidth="1"/>
    <col min="9991" max="9992" width="14.88671875" customWidth="1"/>
    <col min="9993" max="9994" width="14.33203125" customWidth="1"/>
    <col min="9995" max="9996" width="13" customWidth="1"/>
    <col min="9997" max="9997" width="13.33203125" customWidth="1"/>
    <col min="9998" max="9998" width="16.5546875" customWidth="1"/>
    <col min="9999" max="10001" width="13.33203125" customWidth="1"/>
    <col min="10002" max="10002" width="12.88671875" customWidth="1"/>
    <col min="10003" max="10003" width="14.109375" customWidth="1"/>
    <col min="10245" max="10245" width="6.44140625" customWidth="1"/>
    <col min="10246" max="10246" width="29.109375" customWidth="1"/>
    <col min="10247" max="10248" width="14.88671875" customWidth="1"/>
    <col min="10249" max="10250" width="14.33203125" customWidth="1"/>
    <col min="10251" max="10252" width="13" customWidth="1"/>
    <col min="10253" max="10253" width="13.33203125" customWidth="1"/>
    <col min="10254" max="10254" width="16.5546875" customWidth="1"/>
    <col min="10255" max="10257" width="13.33203125" customWidth="1"/>
    <col min="10258" max="10258" width="12.88671875" customWidth="1"/>
    <col min="10259" max="10259" width="14.109375" customWidth="1"/>
    <col min="10501" max="10501" width="6.44140625" customWidth="1"/>
    <col min="10502" max="10502" width="29.109375" customWidth="1"/>
    <col min="10503" max="10504" width="14.88671875" customWidth="1"/>
    <col min="10505" max="10506" width="14.33203125" customWidth="1"/>
    <col min="10507" max="10508" width="13" customWidth="1"/>
    <col min="10509" max="10509" width="13.33203125" customWidth="1"/>
    <col min="10510" max="10510" width="16.5546875" customWidth="1"/>
    <col min="10511" max="10513" width="13.33203125" customWidth="1"/>
    <col min="10514" max="10514" width="12.88671875" customWidth="1"/>
    <col min="10515" max="10515" width="14.109375" customWidth="1"/>
    <col min="10757" max="10757" width="6.44140625" customWidth="1"/>
    <col min="10758" max="10758" width="29.109375" customWidth="1"/>
    <col min="10759" max="10760" width="14.88671875" customWidth="1"/>
    <col min="10761" max="10762" width="14.33203125" customWidth="1"/>
    <col min="10763" max="10764" width="13" customWidth="1"/>
    <col min="10765" max="10765" width="13.33203125" customWidth="1"/>
    <col min="10766" max="10766" width="16.5546875" customWidth="1"/>
    <col min="10767" max="10769" width="13.33203125" customWidth="1"/>
    <col min="10770" max="10770" width="12.88671875" customWidth="1"/>
    <col min="10771" max="10771" width="14.109375" customWidth="1"/>
    <col min="11013" max="11013" width="6.44140625" customWidth="1"/>
    <col min="11014" max="11014" width="29.109375" customWidth="1"/>
    <col min="11015" max="11016" width="14.88671875" customWidth="1"/>
    <col min="11017" max="11018" width="14.33203125" customWidth="1"/>
    <col min="11019" max="11020" width="13" customWidth="1"/>
    <col min="11021" max="11021" width="13.33203125" customWidth="1"/>
    <col min="11022" max="11022" width="16.5546875" customWidth="1"/>
    <col min="11023" max="11025" width="13.33203125" customWidth="1"/>
    <col min="11026" max="11026" width="12.88671875" customWidth="1"/>
    <col min="11027" max="11027" width="14.109375" customWidth="1"/>
    <col min="11269" max="11269" width="6.44140625" customWidth="1"/>
    <col min="11270" max="11270" width="29.109375" customWidth="1"/>
    <col min="11271" max="11272" width="14.88671875" customWidth="1"/>
    <col min="11273" max="11274" width="14.33203125" customWidth="1"/>
    <col min="11275" max="11276" width="13" customWidth="1"/>
    <col min="11277" max="11277" width="13.33203125" customWidth="1"/>
    <col min="11278" max="11278" width="16.5546875" customWidth="1"/>
    <col min="11279" max="11281" width="13.33203125" customWidth="1"/>
    <col min="11282" max="11282" width="12.88671875" customWidth="1"/>
    <col min="11283" max="11283" width="14.109375" customWidth="1"/>
    <col min="11525" max="11525" width="6.44140625" customWidth="1"/>
    <col min="11526" max="11526" width="29.109375" customWidth="1"/>
    <col min="11527" max="11528" width="14.88671875" customWidth="1"/>
    <col min="11529" max="11530" width="14.33203125" customWidth="1"/>
    <col min="11531" max="11532" width="13" customWidth="1"/>
    <col min="11533" max="11533" width="13.33203125" customWidth="1"/>
    <col min="11534" max="11534" width="16.5546875" customWidth="1"/>
    <col min="11535" max="11537" width="13.33203125" customWidth="1"/>
    <col min="11538" max="11538" width="12.88671875" customWidth="1"/>
    <col min="11539" max="11539" width="14.109375" customWidth="1"/>
    <col min="11781" max="11781" width="6.44140625" customWidth="1"/>
    <col min="11782" max="11782" width="29.109375" customWidth="1"/>
    <col min="11783" max="11784" width="14.88671875" customWidth="1"/>
    <col min="11785" max="11786" width="14.33203125" customWidth="1"/>
    <col min="11787" max="11788" width="13" customWidth="1"/>
    <col min="11789" max="11789" width="13.33203125" customWidth="1"/>
    <col min="11790" max="11790" width="16.5546875" customWidth="1"/>
    <col min="11791" max="11793" width="13.33203125" customWidth="1"/>
    <col min="11794" max="11794" width="12.88671875" customWidth="1"/>
    <col min="11795" max="11795" width="14.109375" customWidth="1"/>
    <col min="12037" max="12037" width="6.44140625" customWidth="1"/>
    <col min="12038" max="12038" width="29.109375" customWidth="1"/>
    <col min="12039" max="12040" width="14.88671875" customWidth="1"/>
    <col min="12041" max="12042" width="14.33203125" customWidth="1"/>
    <col min="12043" max="12044" width="13" customWidth="1"/>
    <col min="12045" max="12045" width="13.33203125" customWidth="1"/>
    <col min="12046" max="12046" width="16.5546875" customWidth="1"/>
    <col min="12047" max="12049" width="13.33203125" customWidth="1"/>
    <col min="12050" max="12050" width="12.88671875" customWidth="1"/>
    <col min="12051" max="12051" width="14.109375" customWidth="1"/>
    <col min="12293" max="12293" width="6.44140625" customWidth="1"/>
    <col min="12294" max="12294" width="29.109375" customWidth="1"/>
    <col min="12295" max="12296" width="14.88671875" customWidth="1"/>
    <col min="12297" max="12298" width="14.33203125" customWidth="1"/>
    <col min="12299" max="12300" width="13" customWidth="1"/>
    <col min="12301" max="12301" width="13.33203125" customWidth="1"/>
    <col min="12302" max="12302" width="16.5546875" customWidth="1"/>
    <col min="12303" max="12305" width="13.33203125" customWidth="1"/>
    <col min="12306" max="12306" width="12.88671875" customWidth="1"/>
    <col min="12307" max="12307" width="14.109375" customWidth="1"/>
    <col min="12549" max="12549" width="6.44140625" customWidth="1"/>
    <col min="12550" max="12550" width="29.109375" customWidth="1"/>
    <col min="12551" max="12552" width="14.88671875" customWidth="1"/>
    <col min="12553" max="12554" width="14.33203125" customWidth="1"/>
    <col min="12555" max="12556" width="13" customWidth="1"/>
    <col min="12557" max="12557" width="13.33203125" customWidth="1"/>
    <col min="12558" max="12558" width="16.5546875" customWidth="1"/>
    <col min="12559" max="12561" width="13.33203125" customWidth="1"/>
    <col min="12562" max="12562" width="12.88671875" customWidth="1"/>
    <col min="12563" max="12563" width="14.109375" customWidth="1"/>
    <col min="12805" max="12805" width="6.44140625" customWidth="1"/>
    <col min="12806" max="12806" width="29.109375" customWidth="1"/>
    <col min="12807" max="12808" width="14.88671875" customWidth="1"/>
    <col min="12809" max="12810" width="14.33203125" customWidth="1"/>
    <col min="12811" max="12812" width="13" customWidth="1"/>
    <col min="12813" max="12813" width="13.33203125" customWidth="1"/>
    <col min="12814" max="12814" width="16.5546875" customWidth="1"/>
    <col min="12815" max="12817" width="13.33203125" customWidth="1"/>
    <col min="12818" max="12818" width="12.88671875" customWidth="1"/>
    <col min="12819" max="12819" width="14.109375" customWidth="1"/>
    <col min="13061" max="13061" width="6.44140625" customWidth="1"/>
    <col min="13062" max="13062" width="29.109375" customWidth="1"/>
    <col min="13063" max="13064" width="14.88671875" customWidth="1"/>
    <col min="13065" max="13066" width="14.33203125" customWidth="1"/>
    <col min="13067" max="13068" width="13" customWidth="1"/>
    <col min="13069" max="13069" width="13.33203125" customWidth="1"/>
    <col min="13070" max="13070" width="16.5546875" customWidth="1"/>
    <col min="13071" max="13073" width="13.33203125" customWidth="1"/>
    <col min="13074" max="13074" width="12.88671875" customWidth="1"/>
    <col min="13075" max="13075" width="14.109375" customWidth="1"/>
    <col min="13317" max="13317" width="6.44140625" customWidth="1"/>
    <col min="13318" max="13318" width="29.109375" customWidth="1"/>
    <col min="13319" max="13320" width="14.88671875" customWidth="1"/>
    <col min="13321" max="13322" width="14.33203125" customWidth="1"/>
    <col min="13323" max="13324" width="13" customWidth="1"/>
    <col min="13325" max="13325" width="13.33203125" customWidth="1"/>
    <col min="13326" max="13326" width="16.5546875" customWidth="1"/>
    <col min="13327" max="13329" width="13.33203125" customWidth="1"/>
    <col min="13330" max="13330" width="12.88671875" customWidth="1"/>
    <col min="13331" max="13331" width="14.109375" customWidth="1"/>
    <col min="13573" max="13573" width="6.44140625" customWidth="1"/>
    <col min="13574" max="13574" width="29.109375" customWidth="1"/>
    <col min="13575" max="13576" width="14.88671875" customWidth="1"/>
    <col min="13577" max="13578" width="14.33203125" customWidth="1"/>
    <col min="13579" max="13580" width="13" customWidth="1"/>
    <col min="13581" max="13581" width="13.33203125" customWidth="1"/>
    <col min="13582" max="13582" width="16.5546875" customWidth="1"/>
    <col min="13583" max="13585" width="13.33203125" customWidth="1"/>
    <col min="13586" max="13586" width="12.88671875" customWidth="1"/>
    <col min="13587" max="13587" width="14.109375" customWidth="1"/>
    <col min="13829" max="13829" width="6.44140625" customWidth="1"/>
    <col min="13830" max="13830" width="29.109375" customWidth="1"/>
    <col min="13831" max="13832" width="14.88671875" customWidth="1"/>
    <col min="13833" max="13834" width="14.33203125" customWidth="1"/>
    <col min="13835" max="13836" width="13" customWidth="1"/>
    <col min="13837" max="13837" width="13.33203125" customWidth="1"/>
    <col min="13838" max="13838" width="16.5546875" customWidth="1"/>
    <col min="13839" max="13841" width="13.33203125" customWidth="1"/>
    <col min="13842" max="13842" width="12.88671875" customWidth="1"/>
    <col min="13843" max="13843" width="14.109375" customWidth="1"/>
    <col min="14085" max="14085" width="6.44140625" customWidth="1"/>
    <col min="14086" max="14086" width="29.109375" customWidth="1"/>
    <col min="14087" max="14088" width="14.88671875" customWidth="1"/>
    <col min="14089" max="14090" width="14.33203125" customWidth="1"/>
    <col min="14091" max="14092" width="13" customWidth="1"/>
    <col min="14093" max="14093" width="13.33203125" customWidth="1"/>
    <col min="14094" max="14094" width="16.5546875" customWidth="1"/>
    <col min="14095" max="14097" width="13.33203125" customWidth="1"/>
    <col min="14098" max="14098" width="12.88671875" customWidth="1"/>
    <col min="14099" max="14099" width="14.109375" customWidth="1"/>
    <col min="14341" max="14341" width="6.44140625" customWidth="1"/>
    <col min="14342" max="14342" width="29.109375" customWidth="1"/>
    <col min="14343" max="14344" width="14.88671875" customWidth="1"/>
    <col min="14345" max="14346" width="14.33203125" customWidth="1"/>
    <col min="14347" max="14348" width="13" customWidth="1"/>
    <col min="14349" max="14349" width="13.33203125" customWidth="1"/>
    <col min="14350" max="14350" width="16.5546875" customWidth="1"/>
    <col min="14351" max="14353" width="13.33203125" customWidth="1"/>
    <col min="14354" max="14354" width="12.88671875" customWidth="1"/>
    <col min="14355" max="14355" width="14.109375" customWidth="1"/>
    <col min="14597" max="14597" width="6.44140625" customWidth="1"/>
    <col min="14598" max="14598" width="29.109375" customWidth="1"/>
    <col min="14599" max="14600" width="14.88671875" customWidth="1"/>
    <col min="14601" max="14602" width="14.33203125" customWidth="1"/>
    <col min="14603" max="14604" width="13" customWidth="1"/>
    <col min="14605" max="14605" width="13.33203125" customWidth="1"/>
    <col min="14606" max="14606" width="16.5546875" customWidth="1"/>
    <col min="14607" max="14609" width="13.33203125" customWidth="1"/>
    <col min="14610" max="14610" width="12.88671875" customWidth="1"/>
    <col min="14611" max="14611" width="14.109375" customWidth="1"/>
    <col min="14853" max="14853" width="6.44140625" customWidth="1"/>
    <col min="14854" max="14854" width="29.109375" customWidth="1"/>
    <col min="14855" max="14856" width="14.88671875" customWidth="1"/>
    <col min="14857" max="14858" width="14.33203125" customWidth="1"/>
    <col min="14859" max="14860" width="13" customWidth="1"/>
    <col min="14861" max="14861" width="13.33203125" customWidth="1"/>
    <col min="14862" max="14862" width="16.5546875" customWidth="1"/>
    <col min="14863" max="14865" width="13.33203125" customWidth="1"/>
    <col min="14866" max="14866" width="12.88671875" customWidth="1"/>
    <col min="14867" max="14867" width="14.109375" customWidth="1"/>
    <col min="15109" max="15109" width="6.44140625" customWidth="1"/>
    <col min="15110" max="15110" width="29.109375" customWidth="1"/>
    <col min="15111" max="15112" width="14.88671875" customWidth="1"/>
    <col min="15113" max="15114" width="14.33203125" customWidth="1"/>
    <col min="15115" max="15116" width="13" customWidth="1"/>
    <col min="15117" max="15117" width="13.33203125" customWidth="1"/>
    <col min="15118" max="15118" width="16.5546875" customWidth="1"/>
    <col min="15119" max="15121" width="13.33203125" customWidth="1"/>
    <col min="15122" max="15122" width="12.88671875" customWidth="1"/>
    <col min="15123" max="15123" width="14.109375" customWidth="1"/>
    <col min="15365" max="15365" width="6.44140625" customWidth="1"/>
    <col min="15366" max="15366" width="29.109375" customWidth="1"/>
    <col min="15367" max="15368" width="14.88671875" customWidth="1"/>
    <col min="15369" max="15370" width="14.33203125" customWidth="1"/>
    <col min="15371" max="15372" width="13" customWidth="1"/>
    <col min="15373" max="15373" width="13.33203125" customWidth="1"/>
    <col min="15374" max="15374" width="16.5546875" customWidth="1"/>
    <col min="15375" max="15377" width="13.33203125" customWidth="1"/>
    <col min="15378" max="15378" width="12.88671875" customWidth="1"/>
    <col min="15379" max="15379" width="14.109375" customWidth="1"/>
    <col min="15621" max="15621" width="6.44140625" customWidth="1"/>
    <col min="15622" max="15622" width="29.109375" customWidth="1"/>
    <col min="15623" max="15624" width="14.88671875" customWidth="1"/>
    <col min="15625" max="15626" width="14.33203125" customWidth="1"/>
    <col min="15627" max="15628" width="13" customWidth="1"/>
    <col min="15629" max="15629" width="13.33203125" customWidth="1"/>
    <col min="15630" max="15630" width="16.5546875" customWidth="1"/>
    <col min="15631" max="15633" width="13.33203125" customWidth="1"/>
    <col min="15634" max="15634" width="12.88671875" customWidth="1"/>
    <col min="15635" max="15635" width="14.109375" customWidth="1"/>
    <col min="15877" max="15877" width="6.44140625" customWidth="1"/>
    <col min="15878" max="15878" width="29.109375" customWidth="1"/>
    <col min="15879" max="15880" width="14.88671875" customWidth="1"/>
    <col min="15881" max="15882" width="14.33203125" customWidth="1"/>
    <col min="15883" max="15884" width="13" customWidth="1"/>
    <col min="15885" max="15885" width="13.33203125" customWidth="1"/>
    <col min="15886" max="15886" width="16.5546875" customWidth="1"/>
    <col min="15887" max="15889" width="13.33203125" customWidth="1"/>
    <col min="15890" max="15890" width="12.88671875" customWidth="1"/>
    <col min="15891" max="15891" width="14.109375" customWidth="1"/>
    <col min="16133" max="16133" width="6.44140625" customWidth="1"/>
    <col min="16134" max="16134" width="29.109375" customWidth="1"/>
    <col min="16135" max="16136" width="14.88671875" customWidth="1"/>
    <col min="16137" max="16138" width="14.33203125" customWidth="1"/>
    <col min="16139" max="16140" width="13" customWidth="1"/>
    <col min="16141" max="16141" width="13.33203125" customWidth="1"/>
    <col min="16142" max="16142" width="16.5546875" customWidth="1"/>
    <col min="16143" max="16145" width="13.33203125" customWidth="1"/>
    <col min="16146" max="16146" width="12.88671875" customWidth="1"/>
    <col min="16147" max="16147" width="14.109375" customWidth="1"/>
  </cols>
  <sheetData>
    <row r="1" spans="1:24" s="25" customFormat="1" x14ac:dyDescent="0.3">
      <c r="B1" s="163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  <c r="N1" s="60"/>
      <c r="O1" s="59"/>
      <c r="P1" s="59"/>
      <c r="Q1" s="59"/>
      <c r="R1" s="59"/>
      <c r="S1" s="59"/>
      <c r="T1" s="59"/>
      <c r="U1" s="59"/>
      <c r="V1" s="59"/>
      <c r="W1" s="59"/>
    </row>
    <row r="2" spans="1:24" ht="18" x14ac:dyDescent="0.35">
      <c r="B2" s="163"/>
      <c r="C2" s="385" t="s">
        <v>524</v>
      </c>
      <c r="D2" s="385"/>
      <c r="E2" s="61"/>
      <c r="F2" s="378"/>
      <c r="G2" s="378"/>
      <c r="H2" s="378"/>
      <c r="I2" s="378"/>
      <c r="J2" s="378"/>
      <c r="K2" s="378"/>
      <c r="L2" s="378"/>
      <c r="M2" s="378"/>
      <c r="N2" s="62"/>
      <c r="O2" s="61"/>
      <c r="P2" s="61"/>
      <c r="Q2" s="61"/>
      <c r="R2" s="61"/>
      <c r="S2" s="61"/>
      <c r="T2" s="61"/>
      <c r="U2" s="61"/>
      <c r="V2" s="61"/>
      <c r="W2" s="61"/>
    </row>
    <row r="3" spans="1:24" ht="15" thickBot="1" x14ac:dyDescent="0.35">
      <c r="B3" s="164"/>
      <c r="C3" s="61"/>
      <c r="D3" s="61"/>
      <c r="E3" s="81"/>
      <c r="F3" s="61"/>
      <c r="G3" s="61"/>
      <c r="H3" s="61"/>
      <c r="I3" s="61"/>
      <c r="J3" s="61"/>
      <c r="K3" s="61"/>
      <c r="L3" s="61"/>
      <c r="M3" s="62"/>
      <c r="N3" s="62"/>
      <c r="O3" s="61"/>
      <c r="P3" s="61"/>
      <c r="Q3" s="61"/>
      <c r="R3" s="61"/>
      <c r="S3" s="61"/>
      <c r="T3" s="61"/>
      <c r="U3" s="61"/>
      <c r="V3" s="61"/>
      <c r="W3" s="61"/>
    </row>
    <row r="4" spans="1:24" ht="55.95" customHeight="1" thickBot="1" x14ac:dyDescent="0.35">
      <c r="B4" s="64"/>
      <c r="C4" s="63"/>
      <c r="D4" s="255"/>
      <c r="E4" s="374" t="s">
        <v>522</v>
      </c>
      <c r="F4" s="375"/>
      <c r="G4" s="227"/>
      <c r="H4" s="214" t="s">
        <v>522</v>
      </c>
      <c r="I4" s="276" t="s">
        <v>523</v>
      </c>
      <c r="J4" s="376" t="s">
        <v>522</v>
      </c>
      <c r="K4" s="376"/>
      <c r="L4" s="377"/>
      <c r="M4" s="257" t="s">
        <v>369</v>
      </c>
      <c r="N4" s="371" t="s">
        <v>44</v>
      </c>
      <c r="O4" s="372"/>
      <c r="P4" s="372"/>
      <c r="Q4" s="372"/>
      <c r="R4" s="372"/>
      <c r="S4" s="372"/>
      <c r="T4" s="372"/>
      <c r="U4" s="372"/>
      <c r="V4" s="373"/>
      <c r="W4" s="383" t="s">
        <v>45</v>
      </c>
      <c r="X4" s="384"/>
    </row>
    <row r="5" spans="1:24" ht="69.599999999999994" thickBot="1" x14ac:dyDescent="0.35">
      <c r="B5" s="69" t="s">
        <v>0</v>
      </c>
      <c r="C5" s="60" t="s">
        <v>72</v>
      </c>
      <c r="D5" s="281" t="s">
        <v>39</v>
      </c>
      <c r="E5" s="381" t="s">
        <v>1</v>
      </c>
      <c r="F5" s="382"/>
      <c r="G5" s="282" t="s">
        <v>233</v>
      </c>
      <c r="H5" s="283" t="s">
        <v>504</v>
      </c>
      <c r="I5" s="284" t="s">
        <v>232</v>
      </c>
      <c r="J5" s="285" t="s">
        <v>234</v>
      </c>
      <c r="K5" s="286" t="s">
        <v>42</v>
      </c>
      <c r="L5" s="229" t="s">
        <v>43</v>
      </c>
      <c r="M5" s="287"/>
      <c r="N5" s="288" t="s">
        <v>46</v>
      </c>
      <c r="O5" s="289" t="s">
        <v>47</v>
      </c>
      <c r="P5" s="286" t="s">
        <v>48</v>
      </c>
      <c r="Q5" s="286" t="s">
        <v>258</v>
      </c>
      <c r="R5" s="286" t="s">
        <v>259</v>
      </c>
      <c r="S5" s="286" t="s">
        <v>254</v>
      </c>
      <c r="T5" s="286" t="s">
        <v>358</v>
      </c>
      <c r="U5" s="286" t="s">
        <v>49</v>
      </c>
      <c r="V5" s="290" t="s">
        <v>50</v>
      </c>
      <c r="W5" s="288" t="s">
        <v>66</v>
      </c>
      <c r="X5" s="291" t="s">
        <v>67</v>
      </c>
    </row>
    <row r="6" spans="1:24" ht="15" thickBot="1" x14ac:dyDescent="0.35">
      <c r="B6" s="292"/>
      <c r="C6" s="293"/>
      <c r="D6" s="294"/>
      <c r="E6" s="295" t="s">
        <v>41</v>
      </c>
      <c r="F6" s="296" t="s">
        <v>246</v>
      </c>
      <c r="G6" s="256" t="s">
        <v>40</v>
      </c>
      <c r="H6" s="214" t="s">
        <v>41</v>
      </c>
      <c r="I6" s="276" t="s">
        <v>41</v>
      </c>
      <c r="J6" s="297" t="s">
        <v>41</v>
      </c>
      <c r="K6" s="256" t="s">
        <v>41</v>
      </c>
      <c r="L6" s="298" t="s">
        <v>41</v>
      </c>
      <c r="M6" s="299"/>
      <c r="N6" s="295" t="s">
        <v>41</v>
      </c>
      <c r="O6" s="256" t="s">
        <v>41</v>
      </c>
      <c r="P6" s="256" t="s">
        <v>41</v>
      </c>
      <c r="Q6" s="256"/>
      <c r="R6" s="256"/>
      <c r="S6" s="256"/>
      <c r="T6" s="256"/>
      <c r="U6" s="256" t="s">
        <v>41</v>
      </c>
      <c r="V6" s="298"/>
      <c r="W6" s="295" t="s">
        <v>41</v>
      </c>
      <c r="X6" s="300"/>
    </row>
    <row r="7" spans="1:24" x14ac:dyDescent="0.3">
      <c r="B7" s="315"/>
      <c r="C7" s="316" t="s">
        <v>5</v>
      </c>
      <c r="D7" s="317"/>
      <c r="E7" s="318">
        <f>SUM(E8:E32)</f>
        <v>8936668.3849999998</v>
      </c>
      <c r="F7" s="319">
        <f>SUM(F8:F32)</f>
        <v>2447223</v>
      </c>
      <c r="G7" s="319">
        <f>SUM(G8:G32)</f>
        <v>976963.82000000007</v>
      </c>
      <c r="H7" s="320">
        <f t="shared" ref="H7:J7" si="0">SUM(H8:H32)</f>
        <v>786900.93</v>
      </c>
      <c r="I7" s="321">
        <f t="shared" si="0"/>
        <v>149086.66999999998</v>
      </c>
      <c r="J7" s="322">
        <f t="shared" si="0"/>
        <v>40976.22</v>
      </c>
      <c r="K7" s="319">
        <f t="shared" ref="K7" si="1">SUM(K8:K32)</f>
        <v>0</v>
      </c>
      <c r="L7" s="323">
        <f t="shared" ref="L7" si="2">SUM(L8:L32)</f>
        <v>0</v>
      </c>
      <c r="M7" s="309"/>
      <c r="N7" s="324" t="s">
        <v>114</v>
      </c>
      <c r="O7" s="325" t="s">
        <v>114</v>
      </c>
      <c r="P7" s="325" t="s">
        <v>114</v>
      </c>
      <c r="Q7" s="311"/>
      <c r="R7" s="311"/>
      <c r="S7" s="311"/>
      <c r="T7" s="311"/>
      <c r="U7" s="326" t="s">
        <v>114</v>
      </c>
      <c r="V7" s="327">
        <v>25</v>
      </c>
      <c r="W7" s="328">
        <f>SUM(W8:W32)</f>
        <v>158995.09</v>
      </c>
      <c r="X7" s="329">
        <f>SUM(E7*0.07)</f>
        <v>625566.7869500001</v>
      </c>
    </row>
    <row r="8" spans="1:24" s="8" customFormat="1" x14ac:dyDescent="0.3">
      <c r="A8" s="25" t="s">
        <v>2</v>
      </c>
      <c r="B8" s="313" t="s">
        <v>2</v>
      </c>
      <c r="C8" s="217" t="s">
        <v>236</v>
      </c>
      <c r="D8" s="258" t="s">
        <v>73</v>
      </c>
      <c r="E8" s="192">
        <v>1147261.95</v>
      </c>
      <c r="F8" s="17"/>
      <c r="G8" s="19">
        <f t="shared" ref="G8:G13" si="3">SUM(H8+I8+J8)</f>
        <v>394332.77</v>
      </c>
      <c r="H8" s="78">
        <f>SUM(410454.93-55644.92-I8)</f>
        <v>212136.61000000002</v>
      </c>
      <c r="I8" s="277">
        <f>139759.53+2913.87</f>
        <v>142673.4</v>
      </c>
      <c r="J8" s="218">
        <v>39522.76</v>
      </c>
      <c r="K8" s="17"/>
      <c r="L8" s="262"/>
      <c r="M8" s="251" t="s">
        <v>74</v>
      </c>
      <c r="N8" s="230"/>
      <c r="O8" s="17"/>
      <c r="P8" s="17"/>
      <c r="Q8" s="17"/>
      <c r="R8" s="17"/>
      <c r="S8" s="17"/>
      <c r="T8" s="17"/>
      <c r="U8" s="17"/>
      <c r="V8" s="231"/>
      <c r="W8" s="241">
        <f>SUM(33728+6743.2+4158.09+10011.8)</f>
        <v>54641.09</v>
      </c>
      <c r="X8" s="193"/>
    </row>
    <row r="9" spans="1:24" x14ac:dyDescent="0.3">
      <c r="A9" s="25" t="s">
        <v>9</v>
      </c>
      <c r="B9" s="313" t="s">
        <v>9</v>
      </c>
      <c r="C9" s="217" t="s">
        <v>268</v>
      </c>
      <c r="D9" s="258" t="s">
        <v>75</v>
      </c>
      <c r="E9" s="192">
        <v>120000</v>
      </c>
      <c r="F9" s="17"/>
      <c r="G9" s="19">
        <f t="shared" si="3"/>
        <v>0</v>
      </c>
      <c r="H9" s="78"/>
      <c r="I9" s="277"/>
      <c r="J9" s="218"/>
      <c r="K9" s="17"/>
      <c r="L9" s="262"/>
      <c r="M9" s="251"/>
      <c r="N9" s="230"/>
      <c r="O9" s="17"/>
      <c r="P9" s="17"/>
      <c r="Q9" s="17"/>
      <c r="R9" s="17"/>
      <c r="S9" s="17"/>
      <c r="T9" s="17"/>
      <c r="U9" s="17"/>
      <c r="V9" s="231"/>
      <c r="W9" s="192"/>
      <c r="X9" s="193"/>
    </row>
    <row r="10" spans="1:24" s="25" customFormat="1" x14ac:dyDescent="0.3">
      <c r="A10" s="25" t="s">
        <v>3</v>
      </c>
      <c r="B10" s="313" t="s">
        <v>3</v>
      </c>
      <c r="C10" s="217" t="s">
        <v>265</v>
      </c>
      <c r="D10" s="258" t="s">
        <v>237</v>
      </c>
      <c r="E10" s="192">
        <v>230000</v>
      </c>
      <c r="F10" s="17"/>
      <c r="G10" s="19">
        <f t="shared" si="3"/>
        <v>14531.76</v>
      </c>
      <c r="H10" s="78">
        <f>SUM(14531.76-I10)</f>
        <v>13291.76</v>
      </c>
      <c r="I10" s="277">
        <v>1240</v>
      </c>
      <c r="J10" s="218"/>
      <c r="K10" s="17"/>
      <c r="L10" s="262"/>
      <c r="M10" s="251"/>
      <c r="N10" s="230"/>
      <c r="O10" s="224"/>
      <c r="P10" s="17"/>
      <c r="Q10" s="17"/>
      <c r="R10" s="17"/>
      <c r="S10" s="17"/>
      <c r="T10" s="17"/>
      <c r="U10" s="17"/>
      <c r="V10" s="231"/>
      <c r="W10" s="192"/>
      <c r="X10" s="193"/>
    </row>
    <row r="11" spans="1:24" x14ac:dyDescent="0.3">
      <c r="A11" s="25" t="s">
        <v>4</v>
      </c>
      <c r="B11" s="313" t="s">
        <v>4</v>
      </c>
      <c r="C11" s="217" t="s">
        <v>51</v>
      </c>
      <c r="D11" s="258" t="s">
        <v>63</v>
      </c>
      <c r="E11" s="192">
        <v>300000</v>
      </c>
      <c r="F11" s="17"/>
      <c r="G11" s="19">
        <f t="shared" si="3"/>
        <v>5000</v>
      </c>
      <c r="H11" s="78">
        <v>5000</v>
      </c>
      <c r="I11" s="277"/>
      <c r="J11" s="218"/>
      <c r="K11" s="17"/>
      <c r="L11" s="262"/>
      <c r="M11" s="251" t="s">
        <v>76</v>
      </c>
      <c r="N11" s="230"/>
      <c r="O11" s="223"/>
      <c r="P11" s="223"/>
      <c r="Q11" s="17"/>
      <c r="R11" s="17"/>
      <c r="S11" s="17"/>
      <c r="T11" s="17"/>
      <c r="U11" s="17"/>
      <c r="V11" s="231"/>
      <c r="W11" s="192"/>
      <c r="X11" s="193"/>
    </row>
    <row r="12" spans="1:24" x14ac:dyDescent="0.3">
      <c r="A12" s="25" t="s">
        <v>22</v>
      </c>
      <c r="B12" s="313" t="s">
        <v>22</v>
      </c>
      <c r="C12" s="217" t="s">
        <v>77</v>
      </c>
      <c r="D12" s="258" t="s">
        <v>78</v>
      </c>
      <c r="E12" s="192">
        <v>11519.445</v>
      </c>
      <c r="F12" s="17"/>
      <c r="G12" s="19">
        <f t="shared" si="3"/>
        <v>9466.1</v>
      </c>
      <c r="H12" s="78">
        <v>9466.1</v>
      </c>
      <c r="I12" s="277"/>
      <c r="J12" s="218"/>
      <c r="K12" s="17"/>
      <c r="L12" s="262"/>
      <c r="M12" s="251"/>
      <c r="N12" s="232"/>
      <c r="O12" s="3"/>
      <c r="P12" s="3"/>
      <c r="Q12" s="3"/>
      <c r="R12" s="3"/>
      <c r="S12" s="3"/>
      <c r="T12" s="3"/>
      <c r="U12" s="3"/>
      <c r="V12" s="231"/>
      <c r="W12" s="192"/>
      <c r="X12" s="193"/>
    </row>
    <row r="13" spans="1:24" x14ac:dyDescent="0.3">
      <c r="A13" s="25" t="s">
        <v>23</v>
      </c>
      <c r="B13" s="313" t="s">
        <v>23</v>
      </c>
      <c r="C13" s="217" t="s">
        <v>64</v>
      </c>
      <c r="D13" s="258" t="s">
        <v>80</v>
      </c>
      <c r="E13" s="192"/>
      <c r="F13" s="17"/>
      <c r="G13" s="19">
        <f t="shared" si="3"/>
        <v>4371.1000000000004</v>
      </c>
      <c r="H13" s="78">
        <v>4371.1000000000004</v>
      </c>
      <c r="I13" s="277"/>
      <c r="J13" s="218"/>
      <c r="K13" s="17"/>
      <c r="L13" s="262"/>
      <c r="M13" s="251"/>
      <c r="N13" s="232"/>
      <c r="O13" s="3"/>
      <c r="P13" s="3"/>
      <c r="Q13" s="3"/>
      <c r="R13" s="3"/>
      <c r="S13" s="3"/>
      <c r="T13" s="3"/>
      <c r="U13" s="3"/>
      <c r="V13" s="231"/>
      <c r="W13" s="192"/>
      <c r="X13" s="193"/>
    </row>
    <row r="14" spans="1:24" x14ac:dyDescent="0.3">
      <c r="A14" s="25" t="s">
        <v>27</v>
      </c>
      <c r="B14" s="313" t="s">
        <v>27</v>
      </c>
      <c r="C14" s="217" t="s">
        <v>507</v>
      </c>
      <c r="D14" s="259" t="s">
        <v>81</v>
      </c>
      <c r="E14" s="192">
        <v>701250</v>
      </c>
      <c r="F14" s="17"/>
      <c r="G14" s="19"/>
      <c r="H14" s="78"/>
      <c r="I14" s="277"/>
      <c r="J14" s="218"/>
      <c r="K14" s="17"/>
      <c r="L14" s="262"/>
      <c r="M14" s="251"/>
      <c r="N14" s="232"/>
      <c r="O14" s="65"/>
      <c r="P14" s="3"/>
      <c r="Q14" s="3"/>
      <c r="R14" s="3"/>
      <c r="S14" s="3"/>
      <c r="T14" s="3"/>
      <c r="U14" s="3"/>
      <c r="V14" s="231"/>
      <c r="W14" s="192"/>
      <c r="X14" s="193"/>
    </row>
    <row r="15" spans="1:24" x14ac:dyDescent="0.3">
      <c r="A15" s="25" t="s">
        <v>38</v>
      </c>
      <c r="B15" s="313" t="s">
        <v>38</v>
      </c>
      <c r="C15" s="217" t="s">
        <v>359</v>
      </c>
      <c r="D15" s="258" t="s">
        <v>82</v>
      </c>
      <c r="E15" s="192">
        <v>1051084.54</v>
      </c>
      <c r="F15" s="17"/>
      <c r="G15" s="19">
        <f>SUM(H15+I15+J15)</f>
        <v>2460</v>
      </c>
      <c r="H15" s="78">
        <v>2460</v>
      </c>
      <c r="I15" s="277"/>
      <c r="J15" s="218"/>
      <c r="K15" s="17"/>
      <c r="L15" s="262"/>
      <c r="M15" s="251"/>
      <c r="N15" s="232"/>
      <c r="O15" s="65"/>
      <c r="P15" s="11"/>
      <c r="Q15" s="3"/>
      <c r="R15" s="3"/>
      <c r="S15" s="3"/>
      <c r="T15" s="3"/>
      <c r="U15" s="3"/>
      <c r="V15" s="231"/>
      <c r="W15" s="192"/>
      <c r="X15" s="193"/>
    </row>
    <row r="16" spans="1:24" x14ac:dyDescent="0.3">
      <c r="A16" s="25" t="s">
        <v>263</v>
      </c>
      <c r="B16" s="313" t="s">
        <v>263</v>
      </c>
      <c r="C16" s="217" t="s">
        <v>56</v>
      </c>
      <c r="D16" s="258" t="s">
        <v>238</v>
      </c>
      <c r="E16" s="192">
        <v>106410</v>
      </c>
      <c r="F16" s="17"/>
      <c r="G16" s="19"/>
      <c r="H16" s="78"/>
      <c r="I16" s="277"/>
      <c r="J16" s="218"/>
      <c r="K16" s="17"/>
      <c r="L16" s="262"/>
      <c r="M16" s="251"/>
      <c r="N16" s="232"/>
      <c r="O16" s="14"/>
      <c r="P16" s="14"/>
      <c r="Q16" s="14"/>
      <c r="R16" s="14"/>
      <c r="S16" s="14"/>
      <c r="T16" s="14"/>
      <c r="U16" s="3"/>
      <c r="V16" s="231"/>
      <c r="W16" s="192"/>
      <c r="X16" s="193"/>
    </row>
    <row r="17" spans="1:24" s="25" customFormat="1" x14ac:dyDescent="0.3">
      <c r="A17" s="25" t="s">
        <v>309</v>
      </c>
      <c r="B17" s="313" t="s">
        <v>309</v>
      </c>
      <c r="C17" s="4" t="s">
        <v>266</v>
      </c>
      <c r="D17" s="260" t="s">
        <v>267</v>
      </c>
      <c r="E17" s="192">
        <v>162000</v>
      </c>
      <c r="F17" s="17"/>
      <c r="G17" s="19"/>
      <c r="H17" s="78"/>
      <c r="I17" s="277"/>
      <c r="J17" s="218"/>
      <c r="K17" s="17"/>
      <c r="L17" s="262"/>
      <c r="M17" s="251"/>
      <c r="N17" s="232"/>
      <c r="O17" s="3"/>
      <c r="P17" s="14"/>
      <c r="Q17" s="14"/>
      <c r="R17" s="14"/>
      <c r="S17" s="14"/>
      <c r="T17" s="14"/>
      <c r="U17" s="3"/>
      <c r="V17" s="231"/>
      <c r="W17" s="192"/>
      <c r="X17" s="193"/>
    </row>
    <row r="18" spans="1:24" s="25" customFormat="1" x14ac:dyDescent="0.3">
      <c r="A18" s="25" t="s">
        <v>310</v>
      </c>
      <c r="B18" s="313" t="s">
        <v>310</v>
      </c>
      <c r="C18" s="217" t="s">
        <v>239</v>
      </c>
      <c r="D18" s="258" t="s">
        <v>240</v>
      </c>
      <c r="E18" s="192">
        <v>503717.45</v>
      </c>
      <c r="F18" s="17"/>
      <c r="G18" s="19"/>
      <c r="H18" s="78"/>
      <c r="I18" s="277"/>
      <c r="J18" s="218"/>
      <c r="K18" s="17"/>
      <c r="L18" s="262"/>
      <c r="M18" s="251"/>
      <c r="N18" s="232"/>
      <c r="O18" s="3"/>
      <c r="P18" s="14"/>
      <c r="Q18" s="14"/>
      <c r="R18" s="14"/>
      <c r="S18" s="14"/>
      <c r="T18" s="14"/>
      <c r="U18" s="3"/>
      <c r="V18" s="231"/>
      <c r="W18" s="192"/>
      <c r="X18" s="193"/>
    </row>
    <row r="19" spans="1:24" s="25" customFormat="1" x14ac:dyDescent="0.3">
      <c r="A19" s="25" t="s">
        <v>311</v>
      </c>
      <c r="B19" s="313" t="s">
        <v>311</v>
      </c>
      <c r="C19" s="217" t="s">
        <v>241</v>
      </c>
      <c r="D19" s="258" t="s">
        <v>242</v>
      </c>
      <c r="E19" s="192">
        <v>46708</v>
      </c>
      <c r="F19" s="17"/>
      <c r="G19" s="19"/>
      <c r="H19" s="78"/>
      <c r="I19" s="277"/>
      <c r="J19" s="218"/>
      <c r="K19" s="17"/>
      <c r="L19" s="262"/>
      <c r="M19" s="251"/>
      <c r="N19" s="232"/>
      <c r="O19" s="3"/>
      <c r="P19" s="14"/>
      <c r="Q19" s="14"/>
      <c r="R19" s="14"/>
      <c r="S19" s="14"/>
      <c r="T19" s="14"/>
      <c r="U19" s="3"/>
      <c r="V19" s="231"/>
      <c r="W19" s="192"/>
      <c r="X19" s="193"/>
    </row>
    <row r="20" spans="1:24" s="167" customFormat="1" x14ac:dyDescent="0.3">
      <c r="A20" s="25" t="s">
        <v>312</v>
      </c>
      <c r="B20" s="313" t="s">
        <v>312</v>
      </c>
      <c r="C20" s="216" t="s">
        <v>408</v>
      </c>
      <c r="D20" s="259" t="s">
        <v>347</v>
      </c>
      <c r="E20" s="192">
        <v>107400</v>
      </c>
      <c r="F20" s="17"/>
      <c r="G20" s="19"/>
      <c r="H20" s="78"/>
      <c r="I20" s="277"/>
      <c r="J20" s="218"/>
      <c r="K20" s="17"/>
      <c r="L20" s="262"/>
      <c r="M20" s="251"/>
      <c r="N20" s="232"/>
      <c r="O20" s="224"/>
      <c r="P20" s="3"/>
      <c r="Q20" s="3"/>
      <c r="R20" s="3"/>
      <c r="S20" s="3"/>
      <c r="T20" s="3"/>
      <c r="U20" s="3"/>
      <c r="V20" s="231"/>
      <c r="W20" s="192"/>
      <c r="X20" s="242"/>
    </row>
    <row r="21" spans="1:24" s="25" customFormat="1" x14ac:dyDescent="0.3">
      <c r="A21" s="25" t="s">
        <v>313</v>
      </c>
      <c r="B21" s="313" t="s">
        <v>313</v>
      </c>
      <c r="C21" s="217" t="s">
        <v>244</v>
      </c>
      <c r="D21" s="258" t="s">
        <v>245</v>
      </c>
      <c r="E21" s="192">
        <v>65622</v>
      </c>
      <c r="F21" s="17"/>
      <c r="G21" s="19">
        <f>SUM(H21+I21+J21)</f>
        <v>23933.02</v>
      </c>
      <c r="H21" s="78">
        <f>SUM(22479.56-I21)</f>
        <v>18667.690000000002</v>
      </c>
      <c r="I21" s="277">
        <v>3811.87</v>
      </c>
      <c r="J21" s="218">
        <v>1453.46</v>
      </c>
      <c r="K21" s="17"/>
      <c r="L21" s="262"/>
      <c r="M21" s="251" t="s">
        <v>339</v>
      </c>
      <c r="N21" s="232"/>
      <c r="O21" s="65"/>
      <c r="P21" s="11"/>
      <c r="Q21" s="14"/>
      <c r="R21" s="14"/>
      <c r="S21" s="14"/>
      <c r="T21" s="14"/>
      <c r="U21" s="3"/>
      <c r="V21" s="231"/>
      <c r="W21" s="192"/>
      <c r="X21" s="193"/>
    </row>
    <row r="22" spans="1:24" s="16" customFormat="1" x14ac:dyDescent="0.3">
      <c r="A22" s="25" t="s">
        <v>314</v>
      </c>
      <c r="B22" s="313" t="s">
        <v>314</v>
      </c>
      <c r="C22" s="216" t="s">
        <v>243</v>
      </c>
      <c r="D22" s="259" t="s">
        <v>249</v>
      </c>
      <c r="E22" s="192">
        <v>1991223</v>
      </c>
      <c r="F22" s="17">
        <v>1991223</v>
      </c>
      <c r="G22" s="19">
        <f>SUM(H22+I22+J22)</f>
        <v>96070.32</v>
      </c>
      <c r="H22" s="78">
        <v>96070.32</v>
      </c>
      <c r="I22" s="277"/>
      <c r="J22" s="218"/>
      <c r="K22" s="17"/>
      <c r="L22" s="262"/>
      <c r="M22" s="251" t="s">
        <v>345</v>
      </c>
      <c r="N22" s="232"/>
      <c r="O22" s="14"/>
      <c r="P22" s="3"/>
      <c r="Q22" s="3"/>
      <c r="R22" s="3"/>
      <c r="S22" s="3"/>
      <c r="T22" s="3"/>
      <c r="U22" s="3"/>
      <c r="V22" s="231"/>
      <c r="W22" s="192"/>
      <c r="X22" s="243"/>
    </row>
    <row r="23" spans="1:24" x14ac:dyDescent="0.3">
      <c r="A23" s="25" t="s">
        <v>315</v>
      </c>
      <c r="B23" s="313" t="s">
        <v>315</v>
      </c>
      <c r="C23" s="217" t="s">
        <v>367</v>
      </c>
      <c r="D23" s="258" t="s">
        <v>83</v>
      </c>
      <c r="E23" s="192">
        <v>579088</v>
      </c>
      <c r="F23" s="17"/>
      <c r="G23" s="19">
        <f>SUM(H23+I23+J23)</f>
        <v>380298.75</v>
      </c>
      <c r="H23" s="78">
        <v>380298.75</v>
      </c>
      <c r="I23" s="277"/>
      <c r="J23" s="218"/>
      <c r="K23" s="17"/>
      <c r="L23" s="262"/>
      <c r="M23" s="251" t="s">
        <v>74</v>
      </c>
      <c r="N23" s="232"/>
      <c r="O23" s="65"/>
      <c r="P23" s="3"/>
      <c r="Q23" s="3"/>
      <c r="R23" s="3"/>
      <c r="S23" s="3"/>
      <c r="T23" s="3"/>
      <c r="U23" s="3"/>
      <c r="V23" s="231"/>
      <c r="W23" s="192"/>
      <c r="X23" s="193"/>
    </row>
    <row r="24" spans="1:24" s="25" customFormat="1" x14ac:dyDescent="0.3">
      <c r="A24" s="25" t="s">
        <v>316</v>
      </c>
      <c r="B24" s="313" t="s">
        <v>316</v>
      </c>
      <c r="C24" s="217" t="s">
        <v>260</v>
      </c>
      <c r="D24" s="258" t="s">
        <v>253</v>
      </c>
      <c r="E24" s="192">
        <v>157712</v>
      </c>
      <c r="F24" s="17"/>
      <c r="G24" s="19">
        <f t="shared" ref="G24:G25" si="4">SUM(H24+I24+J24)</f>
        <v>16500</v>
      </c>
      <c r="H24" s="78">
        <f>SUM(16500-I24)</f>
        <v>15138.6</v>
      </c>
      <c r="I24" s="278">
        <v>1361.4</v>
      </c>
      <c r="J24" s="218"/>
      <c r="K24" s="17"/>
      <c r="L24" s="262"/>
      <c r="M24" s="252" t="s">
        <v>111</v>
      </c>
      <c r="N24" s="232"/>
      <c r="O24" s="224"/>
      <c r="P24" s="3"/>
      <c r="Q24" s="3"/>
      <c r="R24" s="3"/>
      <c r="S24" s="3"/>
      <c r="T24" s="3"/>
      <c r="U24" s="3"/>
      <c r="V24" s="231"/>
      <c r="W24" s="192">
        <v>2200</v>
      </c>
      <c r="X24" s="193"/>
    </row>
    <row r="25" spans="1:24" s="25" customFormat="1" x14ac:dyDescent="0.3">
      <c r="A25" s="25" t="s">
        <v>317</v>
      </c>
      <c r="B25" s="313" t="s">
        <v>317</v>
      </c>
      <c r="C25" s="217" t="s">
        <v>248</v>
      </c>
      <c r="D25" s="258" t="s">
        <v>242</v>
      </c>
      <c r="E25" s="192">
        <v>456000</v>
      </c>
      <c r="F25" s="17">
        <v>456000</v>
      </c>
      <c r="G25" s="19">
        <f t="shared" si="4"/>
        <v>30000</v>
      </c>
      <c r="H25" s="78">
        <v>30000</v>
      </c>
      <c r="I25" s="277"/>
      <c r="J25" s="218"/>
      <c r="K25" s="17"/>
      <c r="L25" s="262"/>
      <c r="M25" s="251"/>
      <c r="N25" s="232"/>
      <c r="O25" s="65"/>
      <c r="P25" s="3"/>
      <c r="Q25" s="3"/>
      <c r="R25" s="3"/>
      <c r="S25" s="3"/>
      <c r="T25" s="3"/>
      <c r="U25" s="3"/>
      <c r="V25" s="231"/>
      <c r="W25" s="244"/>
      <c r="X25" s="193"/>
    </row>
    <row r="26" spans="1:24" s="25" customFormat="1" x14ac:dyDescent="0.3">
      <c r="A26" s="25" t="s">
        <v>318</v>
      </c>
      <c r="B26" s="313" t="s">
        <v>318</v>
      </c>
      <c r="C26" s="217" t="s">
        <v>247</v>
      </c>
      <c r="D26" s="258" t="s">
        <v>250</v>
      </c>
      <c r="E26" s="192">
        <v>384357</v>
      </c>
      <c r="F26" s="17"/>
      <c r="G26" s="19"/>
      <c r="H26" s="271"/>
      <c r="I26" s="277"/>
      <c r="J26" s="218"/>
      <c r="K26" s="17"/>
      <c r="L26" s="262"/>
      <c r="M26" s="251"/>
      <c r="N26" s="232"/>
      <c r="O26" s="65"/>
      <c r="P26" s="3"/>
      <c r="Q26" s="3"/>
      <c r="R26" s="3"/>
      <c r="S26" s="3"/>
      <c r="T26" s="3"/>
      <c r="U26" s="3"/>
      <c r="V26" s="231"/>
      <c r="W26" s="244"/>
      <c r="X26" s="193"/>
    </row>
    <row r="27" spans="1:24" s="25" customFormat="1" x14ac:dyDescent="0.3">
      <c r="A27" s="25" t="s">
        <v>360</v>
      </c>
      <c r="B27" s="313"/>
      <c r="C27" s="217" t="s">
        <v>251</v>
      </c>
      <c r="D27" s="258"/>
      <c r="E27" s="192">
        <v>185533</v>
      </c>
      <c r="F27" s="17"/>
      <c r="G27" s="80"/>
      <c r="H27" s="271"/>
      <c r="I27" s="277"/>
      <c r="J27" s="218"/>
      <c r="K27" s="17"/>
      <c r="L27" s="262"/>
      <c r="M27" s="251"/>
      <c r="N27" s="232"/>
      <c r="O27" s="14"/>
      <c r="P27" s="3"/>
      <c r="Q27" s="3"/>
      <c r="R27" s="3"/>
      <c r="S27" s="3"/>
      <c r="T27" s="3"/>
      <c r="U27" s="3"/>
      <c r="V27" s="231"/>
      <c r="W27" s="241">
        <v>102154</v>
      </c>
      <c r="X27" s="193"/>
    </row>
    <row r="28" spans="1:24" s="25" customFormat="1" x14ac:dyDescent="0.3">
      <c r="A28" s="25" t="s">
        <v>361</v>
      </c>
      <c r="B28" s="313"/>
      <c r="C28" s="217" t="s">
        <v>252</v>
      </c>
      <c r="D28" s="258"/>
      <c r="E28" s="192">
        <v>20000</v>
      </c>
      <c r="F28" s="17"/>
      <c r="G28" s="80"/>
      <c r="H28" s="271"/>
      <c r="I28" s="277"/>
      <c r="J28" s="218"/>
      <c r="K28" s="17"/>
      <c r="L28" s="262"/>
      <c r="M28" s="251"/>
      <c r="N28" s="232"/>
      <c r="O28" s="14"/>
      <c r="P28" s="3"/>
      <c r="Q28" s="3"/>
      <c r="R28" s="3"/>
      <c r="S28" s="3"/>
      <c r="T28" s="3"/>
      <c r="U28" s="3"/>
      <c r="V28" s="231"/>
      <c r="W28" s="192"/>
      <c r="X28" s="193"/>
    </row>
    <row r="29" spans="1:24" s="25" customFormat="1" x14ac:dyDescent="0.3">
      <c r="A29" s="25" t="s">
        <v>362</v>
      </c>
      <c r="B29" s="313" t="s">
        <v>360</v>
      </c>
      <c r="C29" s="217" t="s">
        <v>262</v>
      </c>
      <c r="D29" s="258" t="s">
        <v>508</v>
      </c>
      <c r="E29" s="192">
        <v>168000</v>
      </c>
      <c r="F29" s="17"/>
      <c r="G29" s="17"/>
      <c r="H29" s="272"/>
      <c r="I29" s="277"/>
      <c r="J29" s="218"/>
      <c r="K29" s="17"/>
      <c r="L29" s="262"/>
      <c r="M29" s="251"/>
      <c r="N29" s="232"/>
      <c r="O29" s="65"/>
      <c r="P29" s="3"/>
      <c r="Q29" s="3"/>
      <c r="R29" s="3"/>
      <c r="S29" s="3"/>
      <c r="T29" s="3"/>
      <c r="U29" s="3"/>
      <c r="V29" s="231"/>
      <c r="W29" s="192"/>
      <c r="X29" s="193"/>
    </row>
    <row r="30" spans="1:24" s="167" customFormat="1" x14ac:dyDescent="0.3">
      <c r="A30" s="25" t="s">
        <v>363</v>
      </c>
      <c r="B30" s="313" t="s">
        <v>361</v>
      </c>
      <c r="C30" s="216" t="s">
        <v>340</v>
      </c>
      <c r="D30" s="259" t="s">
        <v>250</v>
      </c>
      <c r="E30" s="192">
        <v>261782</v>
      </c>
      <c r="F30" s="17"/>
      <c r="G30" s="17"/>
      <c r="H30" s="78"/>
      <c r="I30" s="277"/>
      <c r="J30" s="218"/>
      <c r="K30" s="17"/>
      <c r="L30" s="262"/>
      <c r="M30" s="251"/>
      <c r="N30" s="232"/>
      <c r="O30" s="65"/>
      <c r="P30" s="3"/>
      <c r="Q30" s="3"/>
      <c r="R30" s="3"/>
      <c r="S30" s="3"/>
      <c r="T30" s="3"/>
      <c r="U30" s="3"/>
      <c r="V30" s="231"/>
      <c r="W30" s="192"/>
      <c r="X30" s="242"/>
    </row>
    <row r="31" spans="1:24" s="167" customFormat="1" x14ac:dyDescent="0.3">
      <c r="A31" s="25" t="s">
        <v>364</v>
      </c>
      <c r="B31" s="313" t="s">
        <v>362</v>
      </c>
      <c r="C31" s="216" t="s">
        <v>264</v>
      </c>
      <c r="D31" s="258" t="s">
        <v>509</v>
      </c>
      <c r="E31" s="263">
        <v>130000</v>
      </c>
      <c r="F31" s="17"/>
      <c r="G31" s="17"/>
      <c r="H31" s="78"/>
      <c r="I31" s="277"/>
      <c r="J31" s="218"/>
      <c r="K31" s="17"/>
      <c r="L31" s="262"/>
      <c r="M31" s="251"/>
      <c r="N31" s="232"/>
      <c r="O31" s="65"/>
      <c r="P31" s="3"/>
      <c r="Q31" s="3"/>
      <c r="R31" s="3"/>
      <c r="S31" s="3"/>
      <c r="T31" s="3"/>
      <c r="U31" s="3"/>
      <c r="V31" s="231"/>
      <c r="W31" s="192"/>
      <c r="X31" s="242"/>
    </row>
    <row r="32" spans="1:24" s="167" customFormat="1" ht="15" thickBot="1" x14ac:dyDescent="0.35">
      <c r="A32" s="25" t="s">
        <v>365</v>
      </c>
      <c r="B32" s="314" t="s">
        <v>363</v>
      </c>
      <c r="C32" s="330" t="s">
        <v>341</v>
      </c>
      <c r="D32" s="331" t="s">
        <v>510</v>
      </c>
      <c r="E32" s="196">
        <v>50000</v>
      </c>
      <c r="F32" s="268"/>
      <c r="G32" s="268"/>
      <c r="H32" s="274"/>
      <c r="I32" s="280"/>
      <c r="J32" s="275"/>
      <c r="K32" s="268"/>
      <c r="L32" s="270"/>
      <c r="M32" s="254"/>
      <c r="N32" s="304"/>
      <c r="O32" s="332"/>
      <c r="P32" s="238"/>
      <c r="Q32" s="238"/>
      <c r="R32" s="238"/>
      <c r="S32" s="238"/>
      <c r="T32" s="238"/>
      <c r="U32" s="238"/>
      <c r="V32" s="240"/>
      <c r="W32" s="196"/>
      <c r="X32" s="333"/>
    </row>
    <row r="33" spans="1:24" s="25" customFormat="1" x14ac:dyDescent="0.3">
      <c r="B33" s="225"/>
      <c r="C33" s="226"/>
      <c r="D33" s="261"/>
      <c r="E33" s="264"/>
      <c r="F33" s="220"/>
      <c r="G33" s="83"/>
      <c r="H33" s="273"/>
      <c r="I33" s="279"/>
      <c r="J33" s="228"/>
      <c r="K33" s="220"/>
      <c r="L33" s="265"/>
      <c r="M33" s="253"/>
      <c r="N33" s="233"/>
      <c r="O33" s="7"/>
      <c r="P33" s="7"/>
      <c r="Q33" s="7"/>
      <c r="R33" s="7"/>
      <c r="S33" s="7"/>
      <c r="T33" s="7"/>
      <c r="U33" s="7"/>
      <c r="V33" s="234"/>
      <c r="W33" s="195"/>
      <c r="X33" s="245"/>
    </row>
    <row r="34" spans="1:24" ht="15" thickBot="1" x14ac:dyDescent="0.35">
      <c r="B34" s="301"/>
      <c r="C34" s="302"/>
      <c r="D34" s="303"/>
      <c r="E34" s="196"/>
      <c r="F34" s="268"/>
      <c r="G34" s="268"/>
      <c r="H34" s="274"/>
      <c r="I34" s="222"/>
      <c r="J34" s="275"/>
      <c r="K34" s="268"/>
      <c r="L34" s="270"/>
      <c r="M34" s="254"/>
      <c r="N34" s="304"/>
      <c r="O34" s="238"/>
      <c r="P34" s="238"/>
      <c r="Q34" s="238"/>
      <c r="R34" s="238"/>
      <c r="S34" s="238"/>
      <c r="T34" s="238"/>
      <c r="U34" s="238"/>
      <c r="V34" s="240"/>
      <c r="W34" s="196"/>
      <c r="X34" s="305"/>
    </row>
    <row r="35" spans="1:24" x14ac:dyDescent="0.3">
      <c r="B35" s="306"/>
      <c r="C35" s="334" t="s">
        <v>10</v>
      </c>
      <c r="D35" s="335"/>
      <c r="E35" s="318">
        <f>SUM(E36:E40)</f>
        <v>7143111.2000000002</v>
      </c>
      <c r="F35" s="319">
        <f t="shared" ref="F35:L35" si="5">SUM(F36:F40)</f>
        <v>0</v>
      </c>
      <c r="G35" s="319">
        <f t="shared" si="5"/>
        <v>1287233</v>
      </c>
      <c r="H35" s="320">
        <f t="shared" si="5"/>
        <v>928335</v>
      </c>
      <c r="I35" s="321">
        <f t="shared" si="5"/>
        <v>99089</v>
      </c>
      <c r="J35" s="322">
        <f t="shared" si="5"/>
        <v>259809</v>
      </c>
      <c r="K35" s="319">
        <f t="shared" si="5"/>
        <v>0</v>
      </c>
      <c r="L35" s="323">
        <f t="shared" si="5"/>
        <v>0</v>
      </c>
      <c r="M35" s="336"/>
      <c r="N35" s="324" t="s">
        <v>114</v>
      </c>
      <c r="O35" s="311"/>
      <c r="P35" s="311"/>
      <c r="Q35" s="311"/>
      <c r="R35" s="311"/>
      <c r="S35" s="311"/>
      <c r="T35" s="337" t="s">
        <v>114</v>
      </c>
      <c r="U35" s="311"/>
      <c r="V35" s="327">
        <v>115</v>
      </c>
      <c r="W35" s="328">
        <v>328527</v>
      </c>
      <c r="X35" s="329">
        <f>SUM(E35*0.07)</f>
        <v>500017.78400000004</v>
      </c>
    </row>
    <row r="36" spans="1:24" x14ac:dyDescent="0.3">
      <c r="A36" s="25" t="s">
        <v>2</v>
      </c>
      <c r="B36" s="338" t="s">
        <v>2</v>
      </c>
      <c r="C36" s="216" t="s">
        <v>84</v>
      </c>
      <c r="D36" s="259" t="s">
        <v>85</v>
      </c>
      <c r="E36" s="192">
        <v>2279297</v>
      </c>
      <c r="F36" s="17"/>
      <c r="G36" s="19">
        <f>SUM(H36+I36+J36)</f>
        <v>538559</v>
      </c>
      <c r="H36" s="78">
        <f>SUM(372004-41529-I36)</f>
        <v>277838</v>
      </c>
      <c r="I36" s="277">
        <v>52637</v>
      </c>
      <c r="J36" s="218">
        <v>208084</v>
      </c>
      <c r="K36" s="17"/>
      <c r="L36" s="262"/>
      <c r="M36" s="251" t="s">
        <v>110</v>
      </c>
      <c r="N36" s="232"/>
      <c r="O36" s="3"/>
      <c r="P36" s="3"/>
      <c r="Q36" s="3"/>
      <c r="R36" s="3"/>
      <c r="S36" s="3"/>
      <c r="T36" s="3"/>
      <c r="U36" s="3"/>
      <c r="V36" s="231"/>
      <c r="W36" s="192"/>
      <c r="X36" s="193"/>
    </row>
    <row r="37" spans="1:24" x14ac:dyDescent="0.3">
      <c r="A37" s="25" t="s">
        <v>9</v>
      </c>
      <c r="B37" s="338" t="s">
        <v>9</v>
      </c>
      <c r="C37" s="216" t="s">
        <v>86</v>
      </c>
      <c r="D37" s="259" t="s">
        <v>87</v>
      </c>
      <c r="E37" s="192">
        <v>2538850</v>
      </c>
      <c r="F37" s="17"/>
      <c r="G37" s="19">
        <f>SUM(H37+I37+J37)</f>
        <v>516589</v>
      </c>
      <c r="H37" s="78">
        <f>SUM(495832-2877-I37)</f>
        <v>455238</v>
      </c>
      <c r="I37" s="277">
        <v>37717</v>
      </c>
      <c r="J37" s="218">
        <v>23634</v>
      </c>
      <c r="K37" s="17"/>
      <c r="L37" s="262"/>
      <c r="M37" s="251" t="s">
        <v>338</v>
      </c>
      <c r="N37" s="232"/>
      <c r="O37" s="3"/>
      <c r="P37" s="3"/>
      <c r="Q37" s="3"/>
      <c r="R37" s="3"/>
      <c r="S37" s="3"/>
      <c r="T37" s="3"/>
      <c r="U37" s="3"/>
      <c r="V37" s="235"/>
      <c r="W37" s="194"/>
      <c r="X37" s="193"/>
    </row>
    <row r="38" spans="1:24" s="59" customFormat="1" x14ac:dyDescent="0.3">
      <c r="A38" s="25" t="s">
        <v>3</v>
      </c>
      <c r="B38" s="338" t="s">
        <v>3</v>
      </c>
      <c r="C38" s="216" t="s">
        <v>88</v>
      </c>
      <c r="D38" s="259" t="s">
        <v>89</v>
      </c>
      <c r="E38" s="192">
        <v>365025</v>
      </c>
      <c r="F38" s="17"/>
      <c r="G38" s="19">
        <f>SUM(H38+I38+J38)</f>
        <v>29287</v>
      </c>
      <c r="H38" s="78">
        <f>SUM(16218-I38)</f>
        <v>15186</v>
      </c>
      <c r="I38" s="277">
        <v>1032</v>
      </c>
      <c r="J38" s="218">
        <v>13069</v>
      </c>
      <c r="K38" s="17"/>
      <c r="L38" s="262"/>
      <c r="M38" s="251"/>
      <c r="N38" s="232"/>
      <c r="O38" s="3"/>
      <c r="P38" s="3"/>
      <c r="Q38" s="3"/>
      <c r="R38" s="3"/>
      <c r="S38" s="3"/>
      <c r="T38" s="3"/>
      <c r="U38" s="3"/>
      <c r="V38" s="235"/>
      <c r="W38" s="194"/>
      <c r="X38" s="246"/>
    </row>
    <row r="39" spans="1:24" x14ac:dyDescent="0.3">
      <c r="A39" s="25" t="s">
        <v>4</v>
      </c>
      <c r="B39" s="338" t="s">
        <v>4</v>
      </c>
      <c r="C39" s="216" t="s">
        <v>90</v>
      </c>
      <c r="D39" s="259" t="s">
        <v>91</v>
      </c>
      <c r="E39" s="192">
        <v>853591.20000000007</v>
      </c>
      <c r="F39" s="17"/>
      <c r="G39" s="19">
        <f>SUM(H39+I39+J39)</f>
        <v>39562</v>
      </c>
      <c r="H39" s="78">
        <f>SUM(25926-I39)</f>
        <v>23181</v>
      </c>
      <c r="I39" s="277">
        <v>2745</v>
      </c>
      <c r="J39" s="218">
        <v>13636</v>
      </c>
      <c r="K39" s="17"/>
      <c r="L39" s="262"/>
      <c r="M39" s="251" t="s">
        <v>76</v>
      </c>
      <c r="N39" s="232"/>
      <c r="O39" s="3"/>
      <c r="P39" s="3"/>
      <c r="Q39" s="3"/>
      <c r="R39" s="3"/>
      <c r="S39" s="3"/>
      <c r="T39" s="3"/>
      <c r="U39" s="3"/>
      <c r="V39" s="235"/>
      <c r="W39" s="194"/>
      <c r="X39" s="193"/>
    </row>
    <row r="40" spans="1:24" ht="15" thickBot="1" x14ac:dyDescent="0.35">
      <c r="A40" s="25" t="s">
        <v>22</v>
      </c>
      <c r="B40" s="339" t="s">
        <v>22</v>
      </c>
      <c r="C40" s="330" t="s">
        <v>11</v>
      </c>
      <c r="D40" s="340" t="s">
        <v>92</v>
      </c>
      <c r="E40" s="196">
        <v>1106348</v>
      </c>
      <c r="F40" s="268"/>
      <c r="G40" s="269">
        <f>SUM(H40+I40+J40)</f>
        <v>163236</v>
      </c>
      <c r="H40" s="274">
        <f>SUM(161850-I40)</f>
        <v>156892</v>
      </c>
      <c r="I40" s="280">
        <v>4958</v>
      </c>
      <c r="J40" s="275">
        <v>1386</v>
      </c>
      <c r="K40" s="268"/>
      <c r="L40" s="270"/>
      <c r="M40" s="254"/>
      <c r="N40" s="304"/>
      <c r="O40" s="238"/>
      <c r="P40" s="238"/>
      <c r="Q40" s="238"/>
      <c r="R40" s="238"/>
      <c r="S40" s="238"/>
      <c r="T40" s="238"/>
      <c r="U40" s="238"/>
      <c r="V40" s="240"/>
      <c r="W40" s="196"/>
      <c r="X40" s="305"/>
    </row>
    <row r="41" spans="1:24" ht="15" thickBot="1" x14ac:dyDescent="0.35">
      <c r="B41" s="341"/>
      <c r="C41" s="342"/>
      <c r="D41" s="343"/>
      <c r="E41" s="344"/>
      <c r="F41" s="221"/>
      <c r="G41" s="221"/>
      <c r="H41" s="345"/>
      <c r="I41" s="346"/>
      <c r="J41" s="347"/>
      <c r="K41" s="221"/>
      <c r="L41" s="348"/>
      <c r="M41" s="349"/>
      <c r="N41" s="350"/>
      <c r="O41" s="351"/>
      <c r="P41" s="351"/>
      <c r="Q41" s="351"/>
      <c r="R41" s="351"/>
      <c r="S41" s="351"/>
      <c r="T41" s="351"/>
      <c r="U41" s="351"/>
      <c r="V41" s="352"/>
      <c r="W41" s="344"/>
      <c r="X41" s="353"/>
    </row>
    <row r="42" spans="1:24" x14ac:dyDescent="0.3">
      <c r="A42" s="183"/>
      <c r="B42" s="306"/>
      <c r="C42" s="334" t="s">
        <v>12</v>
      </c>
      <c r="D42" s="335"/>
      <c r="E42" s="318">
        <f>SUM(E43:E47)</f>
        <v>5052439.5839999998</v>
      </c>
      <c r="F42" s="319">
        <f t="shared" ref="F42:J42" si="6">SUM(F43:F47)</f>
        <v>0</v>
      </c>
      <c r="G42" s="319">
        <f t="shared" si="6"/>
        <v>647007.02</v>
      </c>
      <c r="H42" s="320">
        <f t="shared" si="6"/>
        <v>427736.06999999995</v>
      </c>
      <c r="I42" s="321">
        <f t="shared" si="6"/>
        <v>69811.31</v>
      </c>
      <c r="J42" s="322">
        <f t="shared" si="6"/>
        <v>149459.64000000001</v>
      </c>
      <c r="K42" s="307"/>
      <c r="L42" s="308"/>
      <c r="M42" s="309"/>
      <c r="N42" s="324" t="s">
        <v>114</v>
      </c>
      <c r="O42" s="311"/>
      <c r="P42" s="311"/>
      <c r="Q42" s="311"/>
      <c r="R42" s="311"/>
      <c r="S42" s="311"/>
      <c r="T42" s="337" t="s">
        <v>114</v>
      </c>
      <c r="U42" s="311"/>
      <c r="V42" s="327">
        <v>61</v>
      </c>
      <c r="W42" s="328">
        <v>58052.02</v>
      </c>
      <c r="X42" s="329">
        <f>SUM(E42*0.07)</f>
        <v>353670.77088000003</v>
      </c>
    </row>
    <row r="43" spans="1:24" x14ac:dyDescent="0.3">
      <c r="A43" s="183" t="s">
        <v>2</v>
      </c>
      <c r="B43" s="313" t="s">
        <v>2</v>
      </c>
      <c r="C43" s="216" t="s">
        <v>93</v>
      </c>
      <c r="D43" s="259" t="s">
        <v>94</v>
      </c>
      <c r="E43" s="192">
        <v>1852936.59</v>
      </c>
      <c r="F43" s="17"/>
      <c r="G43" s="19">
        <f>SUM(H43+J43+I43)</f>
        <v>493914.14</v>
      </c>
      <c r="H43" s="78">
        <f>SUM(449813.64-37832.27-I43)</f>
        <v>348019.35</v>
      </c>
      <c r="I43" s="277">
        <v>63962.02</v>
      </c>
      <c r="J43" s="218">
        <v>81932.77</v>
      </c>
      <c r="K43" s="17"/>
      <c r="L43" s="262"/>
      <c r="M43" s="251" t="s">
        <v>339</v>
      </c>
      <c r="N43" s="232"/>
      <c r="O43" s="3"/>
      <c r="P43" s="3"/>
      <c r="Q43" s="3"/>
      <c r="R43" s="3"/>
      <c r="S43" s="3"/>
      <c r="T43" s="3"/>
      <c r="U43" s="3"/>
      <c r="V43" s="231"/>
      <c r="W43" s="192"/>
      <c r="X43" s="193"/>
    </row>
    <row r="44" spans="1:24" x14ac:dyDescent="0.3">
      <c r="A44" s="183" t="s">
        <v>9</v>
      </c>
      <c r="B44" s="313" t="s">
        <v>9</v>
      </c>
      <c r="C44" s="216" t="s">
        <v>95</v>
      </c>
      <c r="D44" s="259" t="s">
        <v>96</v>
      </c>
      <c r="E44" s="192">
        <v>1161092.4915</v>
      </c>
      <c r="F44" s="17"/>
      <c r="G44" s="19">
        <f t="shared" ref="G44:G47" si="7">SUM(H44+J44+I44)</f>
        <v>60066.46</v>
      </c>
      <c r="H44" s="78">
        <f>SUM(47064.95-I44)</f>
        <v>44661.369999999995</v>
      </c>
      <c r="I44" s="277">
        <v>2403.58</v>
      </c>
      <c r="J44" s="218">
        <v>13001.51</v>
      </c>
      <c r="K44" s="17"/>
      <c r="L44" s="262"/>
      <c r="M44" s="251" t="s">
        <v>112</v>
      </c>
      <c r="N44" s="232"/>
      <c r="O44" s="3"/>
      <c r="P44" s="3"/>
      <c r="Q44" s="3"/>
      <c r="R44" s="3"/>
      <c r="S44" s="3"/>
      <c r="T44" s="3"/>
      <c r="U44" s="3"/>
      <c r="V44" s="231"/>
      <c r="W44" s="192"/>
      <c r="X44" s="193"/>
    </row>
    <row r="45" spans="1:24" x14ac:dyDescent="0.3">
      <c r="A45" s="183" t="s">
        <v>3</v>
      </c>
      <c r="B45" s="313" t="s">
        <v>3</v>
      </c>
      <c r="C45" s="216" t="s">
        <v>97</v>
      </c>
      <c r="D45" s="259" t="s">
        <v>98</v>
      </c>
      <c r="E45" s="192">
        <v>1508332.094</v>
      </c>
      <c r="F45" s="17"/>
      <c r="G45" s="19">
        <f t="shared" si="7"/>
        <v>69299.28</v>
      </c>
      <c r="H45" s="78">
        <f>SUM(29955.62-I45)</f>
        <v>28432.73</v>
      </c>
      <c r="I45" s="277">
        <v>1522.89</v>
      </c>
      <c r="J45" s="218">
        <v>39343.660000000003</v>
      </c>
      <c r="K45" s="17"/>
      <c r="L45" s="262"/>
      <c r="M45" s="251" t="s">
        <v>112</v>
      </c>
      <c r="N45" s="232"/>
      <c r="O45" s="3"/>
      <c r="P45" s="3"/>
      <c r="Q45" s="3"/>
      <c r="R45" s="3"/>
      <c r="S45" s="3"/>
      <c r="T45" s="3"/>
      <c r="U45" s="3"/>
      <c r="V45" s="231"/>
      <c r="W45" s="192"/>
      <c r="X45" s="193"/>
    </row>
    <row r="46" spans="1:24" x14ac:dyDescent="0.3">
      <c r="A46" s="183" t="s">
        <v>4</v>
      </c>
      <c r="B46" s="313" t="s">
        <v>4</v>
      </c>
      <c r="C46" s="216" t="s">
        <v>99</v>
      </c>
      <c r="D46" s="259" t="s">
        <v>100</v>
      </c>
      <c r="E46" s="192">
        <v>366649.58600000001</v>
      </c>
      <c r="F46" s="17"/>
      <c r="G46" s="19">
        <f t="shared" si="7"/>
        <v>19711.09</v>
      </c>
      <c r="H46" s="78">
        <f>SUM(6181.39-I46)</f>
        <v>4258.5700000000006</v>
      </c>
      <c r="I46" s="277">
        <v>1922.82</v>
      </c>
      <c r="J46" s="218">
        <v>13529.7</v>
      </c>
      <c r="K46" s="17"/>
      <c r="L46" s="262"/>
      <c r="M46" s="251"/>
      <c r="N46" s="232"/>
      <c r="O46" s="3"/>
      <c r="P46" s="3"/>
      <c r="Q46" s="3"/>
      <c r="R46" s="3"/>
      <c r="S46" s="3"/>
      <c r="T46" s="3"/>
      <c r="U46" s="3"/>
      <c r="V46" s="231"/>
      <c r="W46" s="192"/>
      <c r="X46" s="193"/>
    </row>
    <row r="47" spans="1:24" ht="15" thickBot="1" x14ac:dyDescent="0.35">
      <c r="A47" s="183" t="s">
        <v>22</v>
      </c>
      <c r="B47" s="314" t="s">
        <v>22</v>
      </c>
      <c r="C47" s="330" t="s">
        <v>101</v>
      </c>
      <c r="D47" s="340" t="s">
        <v>102</v>
      </c>
      <c r="E47" s="196">
        <v>163428.82250000001</v>
      </c>
      <c r="F47" s="268"/>
      <c r="G47" s="269">
        <f t="shared" si="7"/>
        <v>4016.05</v>
      </c>
      <c r="H47" s="274">
        <v>2364.0500000000002</v>
      </c>
      <c r="I47" s="280">
        <v>0</v>
      </c>
      <c r="J47" s="275">
        <v>1652</v>
      </c>
      <c r="K47" s="268"/>
      <c r="L47" s="270"/>
      <c r="M47" s="254"/>
      <c r="N47" s="304"/>
      <c r="O47" s="238"/>
      <c r="P47" s="238"/>
      <c r="Q47" s="238"/>
      <c r="R47" s="238"/>
      <c r="S47" s="238"/>
      <c r="T47" s="238"/>
      <c r="U47" s="238"/>
      <c r="V47" s="240"/>
      <c r="W47" s="196"/>
      <c r="X47" s="305"/>
    </row>
    <row r="48" spans="1:24" ht="15" thickBot="1" x14ac:dyDescent="0.35">
      <c r="B48" s="354"/>
      <c r="C48" s="355"/>
      <c r="D48" s="356"/>
      <c r="E48" s="344"/>
      <c r="F48" s="221"/>
      <c r="G48" s="221"/>
      <c r="H48" s="345"/>
      <c r="I48" s="346"/>
      <c r="J48" s="347"/>
      <c r="K48" s="221"/>
      <c r="L48" s="348"/>
      <c r="M48" s="349"/>
      <c r="N48" s="357"/>
      <c r="O48" s="221"/>
      <c r="P48" s="221"/>
      <c r="Q48" s="221"/>
      <c r="R48" s="221"/>
      <c r="S48" s="221"/>
      <c r="T48" s="221"/>
      <c r="U48" s="221"/>
      <c r="V48" s="352"/>
      <c r="W48" s="344"/>
      <c r="X48" s="353"/>
    </row>
    <row r="49" spans="1:24" x14ac:dyDescent="0.3">
      <c r="A49" s="183"/>
      <c r="B49" s="306"/>
      <c r="C49" s="334" t="s">
        <v>13</v>
      </c>
      <c r="D49" s="335"/>
      <c r="E49" s="318">
        <f>SUM(E50:E57)</f>
        <v>3315625.2604999999</v>
      </c>
      <c r="F49" s="319">
        <f t="shared" ref="F49:J49" si="8">SUM(F50:F57)</f>
        <v>0</v>
      </c>
      <c r="G49" s="319">
        <f t="shared" si="8"/>
        <v>656465.13</v>
      </c>
      <c r="H49" s="320">
        <f t="shared" si="8"/>
        <v>565755.85000000009</v>
      </c>
      <c r="I49" s="321">
        <f t="shared" si="8"/>
        <v>28461.200000000001</v>
      </c>
      <c r="J49" s="322">
        <f t="shared" si="8"/>
        <v>62248.079999999994</v>
      </c>
      <c r="K49" s="307"/>
      <c r="L49" s="308"/>
      <c r="M49" s="309"/>
      <c r="N49" s="324" t="s">
        <v>114</v>
      </c>
      <c r="O49" s="311"/>
      <c r="P49" s="311"/>
      <c r="Q49" s="311"/>
      <c r="R49" s="311"/>
      <c r="S49" s="311"/>
      <c r="T49" s="337" t="s">
        <v>114</v>
      </c>
      <c r="U49" s="311"/>
      <c r="V49" s="327">
        <v>87</v>
      </c>
      <c r="W49" s="328">
        <v>88385.51</v>
      </c>
      <c r="X49" s="329">
        <f>SUM(E49*0.07)</f>
        <v>232093.76823500003</v>
      </c>
    </row>
    <row r="50" spans="1:24" x14ac:dyDescent="0.3">
      <c r="A50" s="183" t="s">
        <v>2</v>
      </c>
      <c r="B50" s="313" t="s">
        <v>2</v>
      </c>
      <c r="C50" s="216" t="s">
        <v>15</v>
      </c>
      <c r="D50" s="259" t="s">
        <v>103</v>
      </c>
      <c r="E50" s="192">
        <v>1608827.6305000002</v>
      </c>
      <c r="F50" s="17"/>
      <c r="G50" s="19">
        <f t="shared" ref="G50:G57" si="9">SUM(H50+I50+J50)</f>
        <v>294287.93</v>
      </c>
      <c r="H50" s="78">
        <f>SUM(291804.68-24654.6-I50)</f>
        <v>252576.39</v>
      </c>
      <c r="I50" s="277">
        <v>14573.69</v>
      </c>
      <c r="J50" s="218">
        <v>27137.85</v>
      </c>
      <c r="K50" s="17"/>
      <c r="L50" s="262"/>
      <c r="M50" s="251" t="s">
        <v>112</v>
      </c>
      <c r="N50" s="232"/>
      <c r="O50" s="3"/>
      <c r="P50" s="3"/>
      <c r="Q50" s="3"/>
      <c r="R50" s="3"/>
      <c r="S50" s="3"/>
      <c r="T50" s="3"/>
      <c r="U50" s="3"/>
      <c r="V50" s="231"/>
      <c r="W50" s="192"/>
      <c r="X50" s="193"/>
    </row>
    <row r="51" spans="1:24" x14ac:dyDescent="0.3">
      <c r="A51" s="183" t="s">
        <v>9</v>
      </c>
      <c r="B51" s="313" t="s">
        <v>9</v>
      </c>
      <c r="C51" s="216" t="s">
        <v>14</v>
      </c>
      <c r="D51" s="259" t="s">
        <v>104</v>
      </c>
      <c r="E51" s="192">
        <v>535664.14</v>
      </c>
      <c r="F51" s="17"/>
      <c r="G51" s="19">
        <f t="shared" si="9"/>
        <v>113870.65</v>
      </c>
      <c r="H51" s="78">
        <v>103744.85</v>
      </c>
      <c r="I51" s="277">
        <v>3219.37</v>
      </c>
      <c r="J51" s="218">
        <v>6906.43</v>
      </c>
      <c r="K51" s="17"/>
      <c r="L51" s="262"/>
      <c r="M51" s="251"/>
      <c r="N51" s="232"/>
      <c r="O51" s="3"/>
      <c r="P51" s="3"/>
      <c r="Q51" s="3"/>
      <c r="R51" s="3"/>
      <c r="S51" s="3"/>
      <c r="T51" s="3"/>
      <c r="U51" s="3"/>
      <c r="V51" s="231"/>
      <c r="W51" s="192"/>
      <c r="X51" s="193"/>
    </row>
    <row r="52" spans="1:24" x14ac:dyDescent="0.3">
      <c r="A52" s="183" t="s">
        <v>3</v>
      </c>
      <c r="B52" s="313" t="s">
        <v>3</v>
      </c>
      <c r="C52" s="216" t="s">
        <v>16</v>
      </c>
      <c r="D52" s="259" t="s">
        <v>100</v>
      </c>
      <c r="E52" s="192">
        <v>28333.225000000002</v>
      </c>
      <c r="F52" s="17"/>
      <c r="G52" s="19">
        <f t="shared" si="9"/>
        <v>42572.74</v>
      </c>
      <c r="H52" s="78">
        <f>SUM(32411.14-I52)</f>
        <v>30434.04</v>
      </c>
      <c r="I52" s="277">
        <v>1977.1</v>
      </c>
      <c r="J52" s="218">
        <v>10161.6</v>
      </c>
      <c r="K52" s="17"/>
      <c r="L52" s="262"/>
      <c r="M52" s="251"/>
      <c r="N52" s="232"/>
      <c r="O52" s="3"/>
      <c r="P52" s="3"/>
      <c r="Q52" s="3"/>
      <c r="R52" s="3"/>
      <c r="S52" s="3"/>
      <c r="T52" s="3"/>
      <c r="U52" s="3"/>
      <c r="V52" s="231"/>
      <c r="W52" s="192"/>
      <c r="X52" s="193"/>
    </row>
    <row r="53" spans="1:24" x14ac:dyDescent="0.3">
      <c r="A53" s="183" t="s">
        <v>4</v>
      </c>
      <c r="B53" s="313" t="s">
        <v>4</v>
      </c>
      <c r="C53" s="216" t="s">
        <v>17</v>
      </c>
      <c r="D53" s="259" t="s">
        <v>96</v>
      </c>
      <c r="E53" s="192">
        <v>56052.184999999998</v>
      </c>
      <c r="F53" s="17"/>
      <c r="G53" s="19">
        <f t="shared" si="9"/>
        <v>30761.71</v>
      </c>
      <c r="H53" s="78">
        <f>SUM(23328.61-I53)</f>
        <v>21363.45</v>
      </c>
      <c r="I53" s="277">
        <v>1965.16</v>
      </c>
      <c r="J53" s="218">
        <v>7433.1</v>
      </c>
      <c r="K53" s="17"/>
      <c r="L53" s="262"/>
      <c r="M53" s="251"/>
      <c r="N53" s="232"/>
      <c r="O53" s="3"/>
      <c r="P53" s="3"/>
      <c r="Q53" s="3"/>
      <c r="R53" s="3"/>
      <c r="S53" s="3"/>
      <c r="T53" s="3"/>
      <c r="U53" s="3"/>
      <c r="V53" s="231"/>
      <c r="W53" s="192"/>
      <c r="X53" s="193"/>
    </row>
    <row r="54" spans="1:24" x14ac:dyDescent="0.3">
      <c r="A54" s="183" t="s">
        <v>22</v>
      </c>
      <c r="B54" s="313" t="s">
        <v>22</v>
      </c>
      <c r="C54" s="216" t="s">
        <v>18</v>
      </c>
      <c r="D54" s="259" t="s">
        <v>98</v>
      </c>
      <c r="E54" s="192">
        <v>221203.3</v>
      </c>
      <c r="F54" s="17"/>
      <c r="G54" s="19">
        <f t="shared" si="9"/>
        <v>21592.07</v>
      </c>
      <c r="H54" s="78">
        <f>SUM(12175.17-I54)</f>
        <v>11955.09</v>
      </c>
      <c r="I54" s="277">
        <v>220.08</v>
      </c>
      <c r="J54" s="218">
        <v>9416.9</v>
      </c>
      <c r="K54" s="17"/>
      <c r="L54" s="262"/>
      <c r="M54" s="251" t="s">
        <v>112</v>
      </c>
      <c r="N54" s="232"/>
      <c r="O54" s="3"/>
      <c r="P54" s="3"/>
      <c r="Q54" s="3"/>
      <c r="R54" s="3"/>
      <c r="S54" s="3"/>
      <c r="T54" s="3"/>
      <c r="U54" s="3"/>
      <c r="V54" s="231"/>
      <c r="W54" s="192"/>
      <c r="X54" s="193"/>
    </row>
    <row r="55" spans="1:24" x14ac:dyDescent="0.3">
      <c r="A55" s="183" t="s">
        <v>23</v>
      </c>
      <c r="B55" s="313" t="s">
        <v>23</v>
      </c>
      <c r="C55" s="216" t="s">
        <v>19</v>
      </c>
      <c r="D55" s="259" t="s">
        <v>105</v>
      </c>
      <c r="E55" s="192">
        <v>865544.78</v>
      </c>
      <c r="F55" s="17"/>
      <c r="G55" s="19">
        <f t="shared" si="9"/>
        <v>124552.76</v>
      </c>
      <c r="H55" s="78">
        <f>SUM(123360.56-I55)</f>
        <v>118559.98999999999</v>
      </c>
      <c r="I55" s="277">
        <v>4800.57</v>
      </c>
      <c r="J55" s="218">
        <v>1192.2</v>
      </c>
      <c r="K55" s="17"/>
      <c r="L55" s="262"/>
      <c r="M55" s="251" t="s">
        <v>339</v>
      </c>
      <c r="N55" s="232"/>
      <c r="O55" s="3"/>
      <c r="P55" s="3"/>
      <c r="Q55" s="3"/>
      <c r="R55" s="3"/>
      <c r="S55" s="3"/>
      <c r="T55" s="3"/>
      <c r="U55" s="3"/>
      <c r="V55" s="231"/>
      <c r="W55" s="192"/>
      <c r="X55" s="193"/>
    </row>
    <row r="56" spans="1:24" s="25" customFormat="1" x14ac:dyDescent="0.3">
      <c r="A56" s="183" t="s">
        <v>27</v>
      </c>
      <c r="B56" s="313" t="s">
        <v>27</v>
      </c>
      <c r="C56" s="216" t="s">
        <v>366</v>
      </c>
      <c r="D56" s="259" t="s">
        <v>91</v>
      </c>
      <c r="E56" s="192">
        <v>0</v>
      </c>
      <c r="F56" s="17"/>
      <c r="G56" s="19">
        <f t="shared" si="9"/>
        <v>12168.29</v>
      </c>
      <c r="H56" s="78">
        <f>SUM(12168.29-I56)</f>
        <v>11411.380000000001</v>
      </c>
      <c r="I56" s="277">
        <v>756.91</v>
      </c>
      <c r="J56" s="218"/>
      <c r="K56" s="17"/>
      <c r="L56" s="262"/>
      <c r="M56" s="251"/>
      <c r="N56" s="232"/>
      <c r="O56" s="3"/>
      <c r="P56" s="3"/>
      <c r="Q56" s="3"/>
      <c r="R56" s="3"/>
      <c r="S56" s="3"/>
      <c r="T56" s="3"/>
      <c r="U56" s="3"/>
      <c r="V56" s="231"/>
      <c r="W56" s="192"/>
      <c r="X56" s="193"/>
    </row>
    <row r="57" spans="1:24" ht="15" thickBot="1" x14ac:dyDescent="0.35">
      <c r="A57" s="183" t="s">
        <v>38</v>
      </c>
      <c r="B57" s="314" t="s">
        <v>38</v>
      </c>
      <c r="C57" s="330" t="s">
        <v>20</v>
      </c>
      <c r="D57" s="340" t="s">
        <v>89</v>
      </c>
      <c r="E57" s="196">
        <v>0</v>
      </c>
      <c r="F57" s="268"/>
      <c r="G57" s="269">
        <f t="shared" si="9"/>
        <v>16658.98</v>
      </c>
      <c r="H57" s="274">
        <f>SUM(16658.98-I57)</f>
        <v>15710.66</v>
      </c>
      <c r="I57" s="280">
        <v>948.32</v>
      </c>
      <c r="J57" s="275"/>
      <c r="K57" s="268"/>
      <c r="L57" s="270"/>
      <c r="M57" s="254"/>
      <c r="N57" s="304"/>
      <c r="O57" s="238"/>
      <c r="P57" s="238"/>
      <c r="Q57" s="238"/>
      <c r="R57" s="238"/>
      <c r="S57" s="238"/>
      <c r="T57" s="238"/>
      <c r="U57" s="238"/>
      <c r="V57" s="240"/>
      <c r="W57" s="196"/>
      <c r="X57" s="305"/>
    </row>
    <row r="58" spans="1:24" ht="15" thickBot="1" x14ac:dyDescent="0.35">
      <c r="B58" s="354"/>
      <c r="C58" s="342"/>
      <c r="D58" s="343"/>
      <c r="E58" s="344"/>
      <c r="F58" s="221"/>
      <c r="G58" s="221"/>
      <c r="H58" s="345"/>
      <c r="I58" s="346"/>
      <c r="J58" s="347"/>
      <c r="K58" s="221"/>
      <c r="L58" s="348"/>
      <c r="M58" s="349"/>
      <c r="N58" s="350"/>
      <c r="O58" s="351"/>
      <c r="P58" s="351"/>
      <c r="Q58" s="351"/>
      <c r="R58" s="351"/>
      <c r="S58" s="351"/>
      <c r="T58" s="351"/>
      <c r="U58" s="351"/>
      <c r="V58" s="352"/>
      <c r="W58" s="344"/>
      <c r="X58" s="353"/>
    </row>
    <row r="59" spans="1:24" x14ac:dyDescent="0.3">
      <c r="B59" s="306"/>
      <c r="C59" s="334" t="s">
        <v>21</v>
      </c>
      <c r="D59" s="335"/>
      <c r="E59" s="318">
        <f>SUM(E60:E63)</f>
        <v>2247048.2999999998</v>
      </c>
      <c r="F59" s="319">
        <f t="shared" ref="F59:G59" si="10">SUM(F60:F63)</f>
        <v>0</v>
      </c>
      <c r="G59" s="319">
        <f t="shared" si="10"/>
        <v>620489.1</v>
      </c>
      <c r="H59" s="320">
        <f t="shared" ref="H59" si="11">SUM(H60:H63)</f>
        <v>584178.07999999996</v>
      </c>
      <c r="I59" s="321">
        <f t="shared" ref="I59" si="12">SUM(I60:I63)</f>
        <v>35454.01</v>
      </c>
      <c r="J59" s="322">
        <f t="shared" ref="J59" si="13">SUM(J60:J63)</f>
        <v>857.01</v>
      </c>
      <c r="K59" s="319">
        <f t="shared" ref="K59" si="14">SUM(K60:K63)</f>
        <v>23000</v>
      </c>
      <c r="L59" s="323">
        <f t="shared" ref="L59" si="15">SUM(L60:L63)</f>
        <v>15000</v>
      </c>
      <c r="M59" s="309"/>
      <c r="N59" s="358" t="s">
        <v>114</v>
      </c>
      <c r="O59" s="359" t="s">
        <v>114</v>
      </c>
      <c r="P59" s="359" t="s">
        <v>114</v>
      </c>
      <c r="Q59" s="360"/>
      <c r="R59" s="360"/>
      <c r="S59" s="337" t="s">
        <v>114</v>
      </c>
      <c r="T59" s="360"/>
      <c r="U59" s="360"/>
      <c r="V59" s="327">
        <v>14</v>
      </c>
      <c r="W59" s="328">
        <v>5015.95</v>
      </c>
      <c r="X59" s="329">
        <f>SUM(E59*0.07)</f>
        <v>157293.38099999999</v>
      </c>
    </row>
    <row r="60" spans="1:24" x14ac:dyDescent="0.3">
      <c r="A60" s="183" t="s">
        <v>2</v>
      </c>
      <c r="B60" s="313" t="s">
        <v>2</v>
      </c>
      <c r="C60" s="216" t="s">
        <v>58</v>
      </c>
      <c r="D60" s="259" t="s">
        <v>106</v>
      </c>
      <c r="E60" s="192">
        <v>250000</v>
      </c>
      <c r="F60" s="17"/>
      <c r="G60" s="19">
        <f>SUM(H60+I60+J60)</f>
        <v>23393.73</v>
      </c>
      <c r="H60" s="78">
        <f>23393.73-I60</f>
        <v>20694.98</v>
      </c>
      <c r="I60" s="277">
        <v>2698.75</v>
      </c>
      <c r="J60" s="218"/>
      <c r="K60" s="17">
        <v>8000</v>
      </c>
      <c r="L60" s="262">
        <v>5000</v>
      </c>
      <c r="M60" s="251" t="s">
        <v>111</v>
      </c>
      <c r="N60" s="232"/>
      <c r="O60" s="11"/>
      <c r="P60" s="15"/>
      <c r="Q60" s="15"/>
      <c r="R60" s="15"/>
      <c r="S60" s="15"/>
      <c r="T60" s="15"/>
      <c r="U60" s="15"/>
      <c r="V60" s="236"/>
      <c r="W60" s="192"/>
      <c r="X60" s="193"/>
    </row>
    <row r="61" spans="1:24" ht="15.6" customHeight="1" x14ac:dyDescent="0.3">
      <c r="A61" s="183" t="s">
        <v>9</v>
      </c>
      <c r="B61" s="313" t="s">
        <v>9</v>
      </c>
      <c r="C61" s="216" t="s">
        <v>55</v>
      </c>
      <c r="D61" s="259" t="s">
        <v>79</v>
      </c>
      <c r="E61" s="192">
        <v>1997048.3</v>
      </c>
      <c r="F61" s="17"/>
      <c r="G61" s="19">
        <f>SUM(H61+I61+J61)</f>
        <v>583288.44999999995</v>
      </c>
      <c r="H61" s="78">
        <f>SUM(582431.44-I61)</f>
        <v>558135.11</v>
      </c>
      <c r="I61" s="277">
        <v>24296.33</v>
      </c>
      <c r="J61" s="218">
        <v>857.01</v>
      </c>
      <c r="K61" s="17">
        <v>15000</v>
      </c>
      <c r="L61" s="262">
        <v>5000</v>
      </c>
      <c r="M61" s="251" t="s">
        <v>111</v>
      </c>
      <c r="N61" s="232"/>
      <c r="O61" s="15"/>
      <c r="P61" s="11"/>
      <c r="Q61" s="15"/>
      <c r="R61" s="15"/>
      <c r="S61" s="15"/>
      <c r="T61" s="15"/>
      <c r="U61" s="15"/>
      <c r="V61" s="231"/>
      <c r="W61" s="192"/>
      <c r="X61" s="193"/>
    </row>
    <row r="62" spans="1:24" x14ac:dyDescent="0.3">
      <c r="A62" s="183" t="s">
        <v>3</v>
      </c>
      <c r="B62" s="313" t="s">
        <v>3</v>
      </c>
      <c r="C62" s="216" t="s">
        <v>269</v>
      </c>
      <c r="D62" s="259" t="s">
        <v>107</v>
      </c>
      <c r="E62" s="192"/>
      <c r="F62" s="17"/>
      <c r="G62" s="19">
        <f t="shared" ref="G62:G63" si="16">SUM(H62+I62+J62)</f>
        <v>11490.150000000001</v>
      </c>
      <c r="H62" s="78">
        <f>SUM(9972.7+1517.45)-I62</f>
        <v>3758.9000000000015</v>
      </c>
      <c r="I62" s="277">
        <f>6867.3+863.95</f>
        <v>7731.25</v>
      </c>
      <c r="J62" s="218"/>
      <c r="K62" s="17"/>
      <c r="L62" s="262">
        <v>5000</v>
      </c>
      <c r="M62" s="251" t="s">
        <v>74</v>
      </c>
      <c r="N62" s="232"/>
      <c r="O62" s="15"/>
      <c r="P62" s="15"/>
      <c r="Q62" s="15"/>
      <c r="R62" s="15"/>
      <c r="S62" s="27"/>
      <c r="T62" s="11"/>
      <c r="U62" s="15"/>
      <c r="V62" s="231"/>
      <c r="W62" s="192"/>
      <c r="X62" s="193"/>
    </row>
    <row r="63" spans="1:24" s="8" customFormat="1" ht="15.6" customHeight="1" thickBot="1" x14ac:dyDescent="0.35">
      <c r="A63" s="183" t="s">
        <v>4</v>
      </c>
      <c r="B63" s="314" t="s">
        <v>4</v>
      </c>
      <c r="C63" s="330" t="s">
        <v>270</v>
      </c>
      <c r="D63" s="340" t="s">
        <v>108</v>
      </c>
      <c r="E63" s="196"/>
      <c r="F63" s="268"/>
      <c r="G63" s="269">
        <f t="shared" si="16"/>
        <v>2316.77</v>
      </c>
      <c r="H63" s="274">
        <f>2316.77-I63</f>
        <v>1589.0900000000001</v>
      </c>
      <c r="I63" s="280">
        <v>727.68</v>
      </c>
      <c r="J63" s="275"/>
      <c r="K63" s="268"/>
      <c r="L63" s="270"/>
      <c r="M63" s="254" t="s">
        <v>345</v>
      </c>
      <c r="N63" s="304"/>
      <c r="O63" s="361"/>
      <c r="P63" s="361"/>
      <c r="Q63" s="361"/>
      <c r="R63" s="361"/>
      <c r="S63" s="361"/>
      <c r="T63" s="361"/>
      <c r="U63" s="362"/>
      <c r="V63" s="240"/>
      <c r="W63" s="196"/>
      <c r="X63" s="305"/>
    </row>
    <row r="64" spans="1:24" s="8" customFormat="1" ht="15" thickBot="1" x14ac:dyDescent="0.35">
      <c r="A64" s="25"/>
      <c r="B64" s="354"/>
      <c r="C64" s="342"/>
      <c r="D64" s="343"/>
      <c r="E64" s="344"/>
      <c r="F64" s="221"/>
      <c r="G64" s="221"/>
      <c r="H64" s="345"/>
      <c r="I64" s="346"/>
      <c r="J64" s="347"/>
      <c r="K64" s="221"/>
      <c r="L64" s="348"/>
      <c r="M64" s="349"/>
      <c r="N64" s="350"/>
      <c r="O64" s="351"/>
      <c r="P64" s="351"/>
      <c r="Q64" s="351"/>
      <c r="R64" s="351"/>
      <c r="S64" s="351"/>
      <c r="T64" s="351"/>
      <c r="U64" s="351"/>
      <c r="V64" s="352"/>
      <c r="W64" s="344"/>
      <c r="X64" s="353"/>
    </row>
    <row r="65" spans="1:25" x14ac:dyDescent="0.3">
      <c r="B65" s="306"/>
      <c r="C65" s="334" t="s">
        <v>24</v>
      </c>
      <c r="D65" s="335"/>
      <c r="E65" s="318">
        <f>SUM(E66:E70)</f>
        <v>354700</v>
      </c>
      <c r="F65" s="319">
        <f t="shared" ref="F65:K65" si="17">SUM(F66:F70)</f>
        <v>0</v>
      </c>
      <c r="G65" s="319">
        <f t="shared" si="17"/>
        <v>271806</v>
      </c>
      <c r="H65" s="320">
        <f t="shared" si="17"/>
        <v>210951</v>
      </c>
      <c r="I65" s="321">
        <f t="shared" si="17"/>
        <v>37623</v>
      </c>
      <c r="J65" s="322">
        <f t="shared" si="17"/>
        <v>23232</v>
      </c>
      <c r="K65" s="319">
        <f t="shared" si="17"/>
        <v>0</v>
      </c>
      <c r="L65" s="323">
        <v>400000</v>
      </c>
      <c r="M65" s="309"/>
      <c r="N65" s="324" t="s">
        <v>114</v>
      </c>
      <c r="O65" s="311"/>
      <c r="P65" s="359" t="s">
        <v>114</v>
      </c>
      <c r="Q65" s="311"/>
      <c r="R65" s="311"/>
      <c r="S65" s="311"/>
      <c r="T65" s="311"/>
      <c r="U65" s="311"/>
      <c r="V65" s="327">
        <v>11</v>
      </c>
      <c r="W65" s="328">
        <v>19799</v>
      </c>
      <c r="X65" s="329">
        <f>SUM(E65*0.07)</f>
        <v>24829.000000000004</v>
      </c>
    </row>
    <row r="66" spans="1:25" x14ac:dyDescent="0.3">
      <c r="A66" s="183" t="s">
        <v>2</v>
      </c>
      <c r="B66" s="313" t="s">
        <v>2</v>
      </c>
      <c r="C66" s="216" t="s">
        <v>59</v>
      </c>
      <c r="D66" s="259" t="s">
        <v>25</v>
      </c>
      <c r="E66" s="192">
        <v>354700</v>
      </c>
      <c r="F66" s="17"/>
      <c r="G66" s="19">
        <f>SUM(H66+I66+J66)</f>
        <v>210030</v>
      </c>
      <c r="H66" s="78">
        <f>SUM(201807-I66)</f>
        <v>175331</v>
      </c>
      <c r="I66" s="277">
        <v>26476</v>
      </c>
      <c r="J66" s="218">
        <v>8223</v>
      </c>
      <c r="K66" s="17"/>
      <c r="L66" s="266"/>
      <c r="M66" s="251" t="s">
        <v>339</v>
      </c>
      <c r="N66" s="232"/>
      <c r="O66" s="3"/>
      <c r="P66" s="27"/>
      <c r="Q66" s="3"/>
      <c r="R66" s="3"/>
      <c r="S66" s="3"/>
      <c r="T66" s="3"/>
      <c r="U66" s="3"/>
      <c r="V66" s="231"/>
      <c r="W66" s="192"/>
      <c r="X66" s="247"/>
    </row>
    <row r="67" spans="1:25" x14ac:dyDescent="0.3">
      <c r="A67" s="183" t="s">
        <v>9</v>
      </c>
      <c r="B67" s="313" t="s">
        <v>9</v>
      </c>
      <c r="C67" s="216" t="s">
        <v>26</v>
      </c>
      <c r="D67" s="259" t="s">
        <v>235</v>
      </c>
      <c r="E67" s="192">
        <v>0</v>
      </c>
      <c r="F67" s="17"/>
      <c r="G67" s="19">
        <f>SUM(H67+I67+J67)</f>
        <v>3541</v>
      </c>
      <c r="H67" s="78">
        <f>SUM(2043-I67)</f>
        <v>923</v>
      </c>
      <c r="I67" s="277">
        <v>1120</v>
      </c>
      <c r="J67" s="218">
        <v>1498</v>
      </c>
      <c r="K67" s="17"/>
      <c r="L67" s="266"/>
      <c r="M67" s="251"/>
      <c r="N67" s="232"/>
      <c r="O67" s="3"/>
      <c r="P67" s="3"/>
      <c r="Q67" s="3"/>
      <c r="R67" s="3"/>
      <c r="S67" s="3"/>
      <c r="T67" s="3"/>
      <c r="U67" s="3"/>
      <c r="V67" s="231"/>
      <c r="W67" s="192"/>
      <c r="X67" s="247"/>
    </row>
    <row r="68" spans="1:25" s="8" customFormat="1" x14ac:dyDescent="0.3">
      <c r="A68" s="183" t="s">
        <v>3</v>
      </c>
      <c r="B68" s="313" t="s">
        <v>3</v>
      </c>
      <c r="C68" s="216" t="s">
        <v>68</v>
      </c>
      <c r="D68" s="259" t="s">
        <v>81</v>
      </c>
      <c r="E68" s="192">
        <v>0</v>
      </c>
      <c r="F68" s="17"/>
      <c r="G68" s="19">
        <f>SUM(H68+I68+J68)</f>
        <v>6429</v>
      </c>
      <c r="H68" s="78">
        <f>SUM(4960-I68)</f>
        <v>3840</v>
      </c>
      <c r="I68" s="277">
        <v>1120</v>
      </c>
      <c r="J68" s="218">
        <v>1469</v>
      </c>
      <c r="K68" s="17"/>
      <c r="L68" s="266"/>
      <c r="M68" s="251"/>
      <c r="N68" s="232"/>
      <c r="O68" s="3"/>
      <c r="P68" s="3"/>
      <c r="Q68" s="3"/>
      <c r="R68" s="3"/>
      <c r="S68" s="3"/>
      <c r="T68" s="3"/>
      <c r="U68" s="3"/>
      <c r="V68" s="231"/>
      <c r="W68" s="192"/>
      <c r="X68" s="247"/>
    </row>
    <row r="69" spans="1:25" s="8" customFormat="1" x14ac:dyDescent="0.3">
      <c r="A69" s="183" t="s">
        <v>4</v>
      </c>
      <c r="B69" s="313" t="s">
        <v>4</v>
      </c>
      <c r="C69" s="216" t="s">
        <v>69</v>
      </c>
      <c r="D69" s="259" t="s">
        <v>109</v>
      </c>
      <c r="E69" s="192">
        <v>0</v>
      </c>
      <c r="F69" s="17"/>
      <c r="G69" s="19">
        <f>SUM(H69+I69+J69)</f>
        <v>1559</v>
      </c>
      <c r="H69" s="78">
        <f>SUM(1559-I69)</f>
        <v>0</v>
      </c>
      <c r="I69" s="277">
        <v>1559</v>
      </c>
      <c r="J69" s="218">
        <v>0</v>
      </c>
      <c r="K69" s="17"/>
      <c r="L69" s="266"/>
      <c r="M69" s="251"/>
      <c r="N69" s="232"/>
      <c r="O69" s="3"/>
      <c r="P69" s="3"/>
      <c r="Q69" s="3"/>
      <c r="R69" s="3"/>
      <c r="S69" s="3"/>
      <c r="T69" s="3"/>
      <c r="U69" s="3"/>
      <c r="V69" s="231"/>
      <c r="W69" s="192"/>
      <c r="X69" s="247"/>
    </row>
    <row r="70" spans="1:25" ht="15" thickBot="1" x14ac:dyDescent="0.35">
      <c r="A70" s="183" t="s">
        <v>22</v>
      </c>
      <c r="B70" s="314" t="s">
        <v>22</v>
      </c>
      <c r="C70" s="330" t="s">
        <v>503</v>
      </c>
      <c r="D70" s="340" t="s">
        <v>82</v>
      </c>
      <c r="E70" s="196"/>
      <c r="F70" s="268"/>
      <c r="G70" s="269">
        <f>SUM(H70+I70+J70)</f>
        <v>50247</v>
      </c>
      <c r="H70" s="274">
        <f>SUM(38205-I70)</f>
        <v>30857</v>
      </c>
      <c r="I70" s="280">
        <v>7348</v>
      </c>
      <c r="J70" s="275">
        <v>12042</v>
      </c>
      <c r="K70" s="268"/>
      <c r="L70" s="363"/>
      <c r="M70" s="254"/>
      <c r="N70" s="304"/>
      <c r="O70" s="238"/>
      <c r="P70" s="361"/>
      <c r="Q70" s="238"/>
      <c r="R70" s="238"/>
      <c r="S70" s="238"/>
      <c r="T70" s="238"/>
      <c r="U70" s="238"/>
      <c r="V70" s="240"/>
      <c r="W70" s="196"/>
      <c r="X70" s="250"/>
    </row>
    <row r="71" spans="1:25" s="2" customFormat="1" ht="15" thickBot="1" x14ac:dyDescent="0.35">
      <c r="B71" s="354"/>
      <c r="C71" s="342"/>
      <c r="D71" s="343"/>
      <c r="E71" s="344"/>
      <c r="F71" s="221"/>
      <c r="G71" s="221"/>
      <c r="H71" s="345"/>
      <c r="I71" s="346"/>
      <c r="J71" s="347"/>
      <c r="K71" s="221"/>
      <c r="L71" s="348"/>
      <c r="M71" s="349"/>
      <c r="N71" s="350"/>
      <c r="O71" s="351"/>
      <c r="P71" s="351"/>
      <c r="Q71" s="351"/>
      <c r="R71" s="351"/>
      <c r="S71" s="351"/>
      <c r="T71" s="351"/>
      <c r="U71" s="351"/>
      <c r="V71" s="352"/>
      <c r="W71" s="344"/>
      <c r="X71" s="364"/>
    </row>
    <row r="72" spans="1:25" x14ac:dyDescent="0.3">
      <c r="B72" s="306" t="s">
        <v>2</v>
      </c>
      <c r="C72" s="316" t="s">
        <v>28</v>
      </c>
      <c r="D72" s="317"/>
      <c r="E72" s="318">
        <f>SUM(E73:E95)</f>
        <v>2107605.31</v>
      </c>
      <c r="F72" s="319">
        <f t="shared" ref="F72:L72" si="18">SUM(F73:F95)</f>
        <v>0</v>
      </c>
      <c r="G72" s="319">
        <f t="shared" si="18"/>
        <v>1449708.4</v>
      </c>
      <c r="H72" s="320">
        <f t="shared" si="18"/>
        <v>1142316.3999999999</v>
      </c>
      <c r="I72" s="321">
        <f t="shared" si="18"/>
        <v>54545</v>
      </c>
      <c r="J72" s="322">
        <f t="shared" si="18"/>
        <v>227847</v>
      </c>
      <c r="K72" s="319">
        <f t="shared" si="18"/>
        <v>0</v>
      </c>
      <c r="L72" s="323">
        <f t="shared" si="18"/>
        <v>50000</v>
      </c>
      <c r="M72" s="309"/>
      <c r="N72" s="324" t="s">
        <v>114</v>
      </c>
      <c r="O72" s="365" t="s">
        <v>114</v>
      </c>
      <c r="P72" s="311"/>
      <c r="Q72" s="337" t="s">
        <v>114</v>
      </c>
      <c r="R72" s="337" t="s">
        <v>114</v>
      </c>
      <c r="S72" s="311"/>
      <c r="T72" s="311"/>
      <c r="U72" s="326" t="s">
        <v>114</v>
      </c>
      <c r="V72" s="327">
        <v>66</v>
      </c>
      <c r="W72" s="318">
        <f>SUM(W73:W95)</f>
        <v>537448.83000000007</v>
      </c>
      <c r="X72" s="329">
        <f>SUM(E72*0.07)</f>
        <v>147532.37170000002</v>
      </c>
    </row>
    <row r="73" spans="1:25" x14ac:dyDescent="0.3">
      <c r="A73" s="25" t="s">
        <v>2</v>
      </c>
      <c r="B73" s="313" t="s">
        <v>2</v>
      </c>
      <c r="C73" s="217" t="s">
        <v>29</v>
      </c>
      <c r="D73" s="219" t="s">
        <v>113</v>
      </c>
      <c r="E73" s="192">
        <v>834855</v>
      </c>
      <c r="F73" s="17"/>
      <c r="G73" s="17">
        <f>SUM(H73+I73+J73)</f>
        <v>959495</v>
      </c>
      <c r="H73" s="78">
        <f>SUM(2505212-1762608-I73)</f>
        <v>706452</v>
      </c>
      <c r="I73" s="277">
        <v>36152</v>
      </c>
      <c r="J73" s="218">
        <v>216891</v>
      </c>
      <c r="K73" s="17"/>
      <c r="L73" s="262">
        <v>50000</v>
      </c>
      <c r="M73" s="251" t="s">
        <v>120</v>
      </c>
      <c r="N73" s="230"/>
      <c r="O73" s="17"/>
      <c r="P73" s="17"/>
      <c r="Q73" s="17"/>
      <c r="R73" s="17"/>
      <c r="S73" s="17"/>
      <c r="T73" s="17"/>
      <c r="U73" s="27"/>
      <c r="V73" s="231"/>
      <c r="W73" s="192"/>
      <c r="X73" s="247"/>
    </row>
    <row r="74" spans="1:25" s="25" customFormat="1" x14ac:dyDescent="0.3">
      <c r="A74" s="25" t="s">
        <v>9</v>
      </c>
      <c r="B74" s="313"/>
      <c r="C74" s="217" t="s">
        <v>257</v>
      </c>
      <c r="D74" s="219"/>
      <c r="E74" s="192">
        <f>SUM(4200+2000+3000)</f>
        <v>9200</v>
      </c>
      <c r="F74" s="17"/>
      <c r="G74" s="17"/>
      <c r="H74" s="78"/>
      <c r="I74" s="277"/>
      <c r="J74" s="218"/>
      <c r="K74" s="17"/>
      <c r="L74" s="262"/>
      <c r="M74" s="251"/>
      <c r="N74" s="230"/>
      <c r="O74" s="17"/>
      <c r="P74" s="17"/>
      <c r="Q74" s="17"/>
      <c r="R74" s="17"/>
      <c r="S74" s="17"/>
      <c r="T74" s="17"/>
      <c r="U74" s="17"/>
      <c r="V74" s="231"/>
      <c r="W74" s="192">
        <v>5000</v>
      </c>
      <c r="X74" s="247"/>
    </row>
    <row r="75" spans="1:25" x14ac:dyDescent="0.3">
      <c r="A75" s="25" t="s">
        <v>3</v>
      </c>
      <c r="B75" s="313" t="s">
        <v>9</v>
      </c>
      <c r="C75" s="217" t="s">
        <v>36</v>
      </c>
      <c r="D75" s="219" t="s">
        <v>223</v>
      </c>
      <c r="E75" s="192">
        <v>182589</v>
      </c>
      <c r="F75" s="17"/>
      <c r="G75" s="17">
        <f t="shared" ref="G75:G85" si="19">SUM(H75+I75+J75)</f>
        <v>292165</v>
      </c>
      <c r="H75" s="78">
        <f>SUM(503389-47180-175000)</f>
        <v>281209</v>
      </c>
      <c r="I75" s="277"/>
      <c r="J75" s="218">
        <v>10956</v>
      </c>
      <c r="K75" s="17"/>
      <c r="L75" s="262"/>
      <c r="M75" s="251" t="s">
        <v>120</v>
      </c>
      <c r="N75" s="230"/>
      <c r="O75" s="17"/>
      <c r="P75" s="17"/>
      <c r="Q75" s="17"/>
      <c r="R75" s="17"/>
      <c r="S75" s="17"/>
      <c r="T75" s="17"/>
      <c r="U75" s="17"/>
      <c r="V75" s="231"/>
      <c r="W75" s="192"/>
      <c r="X75" s="247"/>
    </row>
    <row r="76" spans="1:25" x14ac:dyDescent="0.3">
      <c r="A76" s="25" t="s">
        <v>4</v>
      </c>
      <c r="B76" s="313" t="s">
        <v>3</v>
      </c>
      <c r="C76" s="217" t="s">
        <v>37</v>
      </c>
      <c r="D76" s="219" t="s">
        <v>223</v>
      </c>
      <c r="E76" s="192">
        <v>8543</v>
      </c>
      <c r="F76" s="17"/>
      <c r="G76" s="17">
        <f t="shared" si="19"/>
        <v>18393</v>
      </c>
      <c r="H76" s="78">
        <f>SUM(18393-I76)</f>
        <v>0</v>
      </c>
      <c r="I76" s="277">
        <v>18393</v>
      </c>
      <c r="J76" s="218"/>
      <c r="K76" s="17"/>
      <c r="L76" s="262"/>
      <c r="M76" s="251"/>
      <c r="N76" s="230"/>
      <c r="O76" s="17"/>
      <c r="P76" s="17"/>
      <c r="Q76" s="17"/>
      <c r="R76" s="17"/>
      <c r="S76" s="17"/>
      <c r="T76" s="17"/>
      <c r="U76" s="17"/>
      <c r="V76" s="231"/>
      <c r="W76" s="192">
        <f>17542.43</f>
        <v>17542.43</v>
      </c>
      <c r="X76" s="193"/>
      <c r="Y76" s="18"/>
    </row>
    <row r="77" spans="1:25" x14ac:dyDescent="0.3">
      <c r="A77" s="25" t="s">
        <v>22</v>
      </c>
      <c r="B77" s="313" t="s">
        <v>4</v>
      </c>
      <c r="C77" s="217" t="s">
        <v>30</v>
      </c>
      <c r="D77" s="219" t="s">
        <v>224</v>
      </c>
      <c r="E77" s="192">
        <v>621739</v>
      </c>
      <c r="F77" s="17"/>
      <c r="G77" s="17">
        <f t="shared" si="19"/>
        <v>30000</v>
      </c>
      <c r="H77" s="78">
        <v>30000</v>
      </c>
      <c r="I77" s="277"/>
      <c r="J77" s="218"/>
      <c r="K77" s="17"/>
      <c r="L77" s="262"/>
      <c r="M77" s="251" t="s">
        <v>112</v>
      </c>
      <c r="N77" s="230"/>
      <c r="O77" s="17"/>
      <c r="P77" s="17"/>
      <c r="Q77" s="17"/>
      <c r="R77" s="17"/>
      <c r="S77" s="17"/>
      <c r="T77" s="17"/>
      <c r="U77" s="17"/>
      <c r="V77" s="231"/>
      <c r="W77" s="192"/>
      <c r="X77" s="193"/>
      <c r="Y77" s="18"/>
    </row>
    <row r="78" spans="1:25" x14ac:dyDescent="0.3">
      <c r="A78" s="25" t="s">
        <v>23</v>
      </c>
      <c r="B78" s="313" t="s">
        <v>22</v>
      </c>
      <c r="C78" s="217" t="s">
        <v>70</v>
      </c>
      <c r="D78" s="219" t="s">
        <v>57</v>
      </c>
      <c r="E78" s="192">
        <v>41000</v>
      </c>
      <c r="F78" s="17"/>
      <c r="G78" s="17">
        <f t="shared" si="19"/>
        <v>1000</v>
      </c>
      <c r="H78" s="78">
        <v>1000</v>
      </c>
      <c r="I78" s="277"/>
      <c r="J78" s="218"/>
      <c r="K78" s="17"/>
      <c r="L78" s="262"/>
      <c r="M78" s="251"/>
      <c r="N78" s="232"/>
      <c r="O78" s="3"/>
      <c r="P78" s="3"/>
      <c r="Q78" s="3"/>
      <c r="R78" s="3"/>
      <c r="S78" s="3"/>
      <c r="T78" s="3"/>
      <c r="U78" s="3"/>
      <c r="V78" s="231"/>
      <c r="W78" s="192"/>
      <c r="X78" s="193"/>
      <c r="Y78" s="18"/>
    </row>
    <row r="79" spans="1:25" x14ac:dyDescent="0.3">
      <c r="A79" s="25" t="s">
        <v>27</v>
      </c>
      <c r="B79" s="313" t="s">
        <v>23</v>
      </c>
      <c r="C79" s="217" t="s">
        <v>31</v>
      </c>
      <c r="D79" s="219" t="s">
        <v>225</v>
      </c>
      <c r="E79" s="192">
        <v>50000</v>
      </c>
      <c r="F79" s="17"/>
      <c r="G79" s="17">
        <f t="shared" si="19"/>
        <v>1000</v>
      </c>
      <c r="H79" s="78">
        <v>1000</v>
      </c>
      <c r="I79" s="277"/>
      <c r="J79" s="218"/>
      <c r="K79" s="17"/>
      <c r="L79" s="262"/>
      <c r="M79" s="251"/>
      <c r="N79" s="232"/>
      <c r="O79" s="3"/>
      <c r="P79" s="3"/>
      <c r="Q79" s="3"/>
      <c r="R79" s="3"/>
      <c r="S79" s="3"/>
      <c r="T79" s="3"/>
      <c r="U79" s="3"/>
      <c r="V79" s="231"/>
      <c r="W79" s="192"/>
      <c r="X79" s="193"/>
      <c r="Y79" s="18"/>
    </row>
    <row r="80" spans="1:25" x14ac:dyDescent="0.3">
      <c r="A80" s="25" t="s">
        <v>38</v>
      </c>
      <c r="B80" s="313" t="s">
        <v>27</v>
      </c>
      <c r="C80" s="217" t="s">
        <v>32</v>
      </c>
      <c r="D80" s="219" t="s">
        <v>226</v>
      </c>
      <c r="E80" s="192">
        <v>30000</v>
      </c>
      <c r="F80" s="17"/>
      <c r="G80" s="17">
        <f t="shared" si="19"/>
        <v>1000</v>
      </c>
      <c r="H80" s="78">
        <v>1000</v>
      </c>
      <c r="I80" s="277"/>
      <c r="J80" s="218"/>
      <c r="K80" s="17"/>
      <c r="L80" s="262"/>
      <c r="M80" s="251"/>
      <c r="N80" s="232"/>
      <c r="O80" s="3"/>
      <c r="P80" s="3"/>
      <c r="Q80" s="3"/>
      <c r="R80" s="3"/>
      <c r="S80" s="3"/>
      <c r="T80" s="3"/>
      <c r="U80" s="3"/>
      <c r="V80" s="231"/>
      <c r="W80" s="192"/>
      <c r="X80" s="193"/>
      <c r="Y80" s="18"/>
    </row>
    <row r="81" spans="1:25" x14ac:dyDescent="0.3">
      <c r="A81" s="25" t="s">
        <v>263</v>
      </c>
      <c r="B81" s="313" t="s">
        <v>38</v>
      </c>
      <c r="C81" s="217" t="s">
        <v>33</v>
      </c>
      <c r="D81" s="219" t="s">
        <v>227</v>
      </c>
      <c r="E81" s="192">
        <v>69907</v>
      </c>
      <c r="F81" s="17"/>
      <c r="G81" s="17">
        <f t="shared" si="19"/>
        <v>1000</v>
      </c>
      <c r="H81" s="78">
        <v>1000</v>
      </c>
      <c r="I81" s="277"/>
      <c r="J81" s="218"/>
      <c r="K81" s="17"/>
      <c r="L81" s="262"/>
      <c r="M81" s="251"/>
      <c r="N81" s="232"/>
      <c r="O81" s="3"/>
      <c r="P81" s="3"/>
      <c r="Q81" s="3"/>
      <c r="R81" s="3"/>
      <c r="S81" s="3"/>
      <c r="T81" s="3"/>
      <c r="U81" s="3"/>
      <c r="V81" s="231"/>
      <c r="W81" s="192"/>
      <c r="X81" s="193"/>
      <c r="Y81" s="18"/>
    </row>
    <row r="82" spans="1:25" x14ac:dyDescent="0.3">
      <c r="A82" s="25" t="s">
        <v>309</v>
      </c>
      <c r="B82" s="313" t="s">
        <v>263</v>
      </c>
      <c r="C82" s="217" t="s">
        <v>34</v>
      </c>
      <c r="D82" s="219" t="s">
        <v>228</v>
      </c>
      <c r="E82" s="192">
        <v>54000</v>
      </c>
      <c r="F82" s="17"/>
      <c r="G82" s="17">
        <f t="shared" si="19"/>
        <v>1000</v>
      </c>
      <c r="H82" s="78">
        <v>1000</v>
      </c>
      <c r="I82" s="277"/>
      <c r="J82" s="218"/>
      <c r="K82" s="17"/>
      <c r="L82" s="262"/>
      <c r="M82" s="251"/>
      <c r="N82" s="232"/>
      <c r="O82" s="3"/>
      <c r="P82" s="3"/>
      <c r="Q82" s="3"/>
      <c r="R82" s="3"/>
      <c r="S82" s="3"/>
      <c r="T82" s="3"/>
      <c r="U82" s="3"/>
      <c r="V82" s="231"/>
      <c r="W82" s="192"/>
      <c r="X82" s="193"/>
      <c r="Y82" s="18"/>
    </row>
    <row r="83" spans="1:25" x14ac:dyDescent="0.3">
      <c r="A83" s="25" t="s">
        <v>310</v>
      </c>
      <c r="B83" s="313" t="s">
        <v>309</v>
      </c>
      <c r="C83" s="217" t="s">
        <v>35</v>
      </c>
      <c r="D83" s="219" t="s">
        <v>229</v>
      </c>
      <c r="E83" s="192">
        <v>121809</v>
      </c>
      <c r="F83" s="17"/>
      <c r="G83" s="17">
        <f t="shared" si="19"/>
        <v>2000</v>
      </c>
      <c r="H83" s="78">
        <v>2000</v>
      </c>
      <c r="I83" s="277"/>
      <c r="J83" s="218"/>
      <c r="K83" s="17"/>
      <c r="L83" s="262"/>
      <c r="M83" s="251"/>
      <c r="N83" s="232"/>
      <c r="O83" s="3"/>
      <c r="P83" s="3"/>
      <c r="Q83" s="3"/>
      <c r="R83" s="3"/>
      <c r="S83" s="3"/>
      <c r="T83" s="3"/>
      <c r="U83" s="3"/>
      <c r="V83" s="231"/>
      <c r="W83" s="192"/>
      <c r="X83" s="193"/>
      <c r="Y83" s="18"/>
    </row>
    <row r="84" spans="1:25" s="25" customFormat="1" x14ac:dyDescent="0.3">
      <c r="A84" s="25" t="s">
        <v>311</v>
      </c>
      <c r="B84" s="313" t="s">
        <v>310</v>
      </c>
      <c r="C84" s="217" t="s">
        <v>271</v>
      </c>
      <c r="D84" s="258" t="s">
        <v>346</v>
      </c>
      <c r="E84" s="192">
        <v>9709</v>
      </c>
      <c r="F84" s="17"/>
      <c r="G84" s="17">
        <f t="shared" si="19"/>
        <v>0</v>
      </c>
      <c r="H84" s="78"/>
      <c r="I84" s="277"/>
      <c r="J84" s="218"/>
      <c r="K84" s="17"/>
      <c r="L84" s="262"/>
      <c r="M84" s="251"/>
      <c r="N84" s="232"/>
      <c r="O84" s="3"/>
      <c r="P84" s="3"/>
      <c r="Q84" s="3"/>
      <c r="R84" s="3"/>
      <c r="S84" s="3"/>
      <c r="T84" s="3"/>
      <c r="U84" s="3"/>
      <c r="V84" s="231"/>
      <c r="W84" s="192"/>
      <c r="X84" s="193"/>
      <c r="Y84" s="18"/>
    </row>
    <row r="85" spans="1:25" s="25" customFormat="1" x14ac:dyDescent="0.3">
      <c r="A85" s="25" t="s">
        <v>312</v>
      </c>
      <c r="B85" s="313" t="s">
        <v>311</v>
      </c>
      <c r="C85" s="217" t="s">
        <v>255</v>
      </c>
      <c r="D85" s="219" t="s">
        <v>256</v>
      </c>
      <c r="E85" s="192">
        <v>0</v>
      </c>
      <c r="F85" s="17"/>
      <c r="G85" s="17">
        <f t="shared" si="19"/>
        <v>14749</v>
      </c>
      <c r="H85" s="78">
        <v>14749</v>
      </c>
      <c r="I85" s="277"/>
      <c r="J85" s="218"/>
      <c r="K85" s="17"/>
      <c r="L85" s="262"/>
      <c r="M85" s="251"/>
      <c r="N85" s="232"/>
      <c r="O85" s="3"/>
      <c r="P85" s="3"/>
      <c r="Q85" s="3"/>
      <c r="R85" s="3"/>
      <c r="S85" s="3"/>
      <c r="T85" s="3"/>
      <c r="U85" s="3"/>
      <c r="V85" s="231"/>
      <c r="W85" s="192"/>
      <c r="X85" s="193"/>
      <c r="Y85" s="18"/>
    </row>
    <row r="86" spans="1:25" s="8" customFormat="1" x14ac:dyDescent="0.3">
      <c r="A86" s="25" t="s">
        <v>313</v>
      </c>
      <c r="B86" s="313" t="s">
        <v>312</v>
      </c>
      <c r="C86" s="217" t="s">
        <v>230</v>
      </c>
      <c r="D86" s="258" t="s">
        <v>272</v>
      </c>
      <c r="E86" s="192"/>
      <c r="F86" s="17"/>
      <c r="G86" s="17"/>
      <c r="H86" s="78"/>
      <c r="I86" s="277"/>
      <c r="J86" s="218"/>
      <c r="K86" s="17"/>
      <c r="L86" s="262"/>
      <c r="M86" s="251"/>
      <c r="N86" s="232"/>
      <c r="O86" s="3"/>
      <c r="P86" s="3"/>
      <c r="Q86" s="3"/>
      <c r="R86" s="3"/>
      <c r="S86" s="3"/>
      <c r="T86" s="3"/>
      <c r="U86" s="3"/>
      <c r="V86" s="231"/>
      <c r="W86" s="192"/>
      <c r="X86" s="247"/>
    </row>
    <row r="87" spans="1:25" s="8" customFormat="1" x14ac:dyDescent="0.3">
      <c r="A87" s="25" t="s">
        <v>314</v>
      </c>
      <c r="B87" s="313" t="s">
        <v>313</v>
      </c>
      <c r="C87" s="217" t="s">
        <v>368</v>
      </c>
      <c r="D87" s="258" t="s">
        <v>322</v>
      </c>
      <c r="E87" s="192"/>
      <c r="F87" s="17"/>
      <c r="G87" s="17">
        <f>SUM(H87+I87+J87)</f>
        <v>0</v>
      </c>
      <c r="H87" s="78"/>
      <c r="I87" s="277"/>
      <c r="J87" s="218"/>
      <c r="K87" s="17"/>
      <c r="L87" s="262"/>
      <c r="M87" s="251"/>
      <c r="N87" s="232"/>
      <c r="O87" s="3"/>
      <c r="P87" s="3"/>
      <c r="Q87" s="3"/>
      <c r="R87" s="3"/>
      <c r="S87" s="3"/>
      <c r="T87" s="3"/>
      <c r="U87" s="3"/>
      <c r="V87" s="231"/>
      <c r="W87" s="192"/>
      <c r="X87" s="193"/>
    </row>
    <row r="88" spans="1:25" s="16" customFormat="1" x14ac:dyDescent="0.3">
      <c r="A88" s="25" t="s">
        <v>315</v>
      </c>
      <c r="B88" s="313" t="s">
        <v>314</v>
      </c>
      <c r="C88" s="217" t="s">
        <v>52</v>
      </c>
      <c r="D88" s="258" t="s">
        <v>323</v>
      </c>
      <c r="E88" s="267"/>
      <c r="F88" s="17"/>
      <c r="G88" s="17">
        <f>SUM(H88+I88+J88)</f>
        <v>0</v>
      </c>
      <c r="H88" s="78"/>
      <c r="I88" s="277"/>
      <c r="J88" s="218"/>
      <c r="K88" s="17"/>
      <c r="L88" s="262"/>
      <c r="M88" s="251"/>
      <c r="N88" s="232"/>
      <c r="O88" s="3"/>
      <c r="P88" s="3"/>
      <c r="Q88" s="3"/>
      <c r="R88" s="3"/>
      <c r="S88" s="3"/>
      <c r="T88" s="3"/>
      <c r="U88" s="3"/>
      <c r="V88" s="231"/>
      <c r="W88" s="192"/>
      <c r="X88" s="248"/>
    </row>
    <row r="89" spans="1:25" s="16" customFormat="1" x14ac:dyDescent="0.3">
      <c r="A89" s="25" t="s">
        <v>316</v>
      </c>
      <c r="B89" s="313"/>
      <c r="C89" s="217" t="s">
        <v>6</v>
      </c>
      <c r="D89" s="258" t="s">
        <v>65</v>
      </c>
      <c r="E89" s="192">
        <f>'BUS postajališča'!$B$28</f>
        <v>794.22</v>
      </c>
      <c r="F89" s="17"/>
      <c r="G89" s="17">
        <f>SUM(H89+I89+J89)</f>
        <v>0</v>
      </c>
      <c r="H89" s="78"/>
      <c r="I89" s="277"/>
      <c r="J89" s="218"/>
      <c r="K89" s="17"/>
      <c r="L89" s="262"/>
      <c r="M89" s="251"/>
      <c r="N89" s="232"/>
      <c r="O89" s="3"/>
      <c r="P89" s="3"/>
      <c r="Q89" s="3"/>
      <c r="R89" s="3"/>
      <c r="S89" s="3"/>
      <c r="T89" s="3"/>
      <c r="U89" s="3"/>
      <c r="V89" s="231"/>
      <c r="W89" s="192"/>
      <c r="X89" s="248"/>
    </row>
    <row r="90" spans="1:25" s="16" customFormat="1" x14ac:dyDescent="0.3">
      <c r="A90" s="25" t="s">
        <v>317</v>
      </c>
      <c r="B90" s="313"/>
      <c r="C90" s="217" t="s">
        <v>7</v>
      </c>
      <c r="D90" s="258" t="s">
        <v>327</v>
      </c>
      <c r="E90" s="192">
        <f>'BUS postajališča'!$B$29</f>
        <v>61220.09</v>
      </c>
      <c r="F90" s="17"/>
      <c r="G90" s="17">
        <f>SUM(H90+I90+J90)</f>
        <v>0</v>
      </c>
      <c r="H90" s="78"/>
      <c r="I90" s="277"/>
      <c r="J90" s="218"/>
      <c r="K90" s="17"/>
      <c r="L90" s="262"/>
      <c r="M90" s="251"/>
      <c r="N90" s="232"/>
      <c r="O90" s="3"/>
      <c r="P90" s="3"/>
      <c r="Q90" s="3"/>
      <c r="R90" s="3"/>
      <c r="S90" s="3"/>
      <c r="T90" s="3"/>
      <c r="U90" s="3"/>
      <c r="V90" s="231"/>
      <c r="W90" s="192"/>
      <c r="X90" s="248"/>
    </row>
    <row r="91" spans="1:25" s="16" customFormat="1" x14ac:dyDescent="0.3">
      <c r="A91" s="25" t="s">
        <v>318</v>
      </c>
      <c r="B91" s="313"/>
      <c r="C91" s="217" t="s">
        <v>8</v>
      </c>
      <c r="D91" s="258" t="s">
        <v>65</v>
      </c>
      <c r="E91" s="192">
        <f>'BUS postajališča'!$B$30</f>
        <v>12240</v>
      </c>
      <c r="F91" s="17"/>
      <c r="G91" s="17">
        <f>SUM(H91+I91+J91)</f>
        <v>0</v>
      </c>
      <c r="H91" s="78"/>
      <c r="I91" s="277"/>
      <c r="J91" s="218"/>
      <c r="K91" s="17"/>
      <c r="L91" s="262"/>
      <c r="M91" s="251"/>
      <c r="N91" s="232"/>
      <c r="O91" s="3"/>
      <c r="P91" s="3"/>
      <c r="Q91" s="3"/>
      <c r="R91" s="3"/>
      <c r="S91" s="3"/>
      <c r="T91" s="3"/>
      <c r="U91" s="3"/>
      <c r="V91" s="231"/>
      <c r="W91" s="192"/>
      <c r="X91" s="248"/>
    </row>
    <row r="92" spans="1:25" s="16" customFormat="1" x14ac:dyDescent="0.3">
      <c r="A92" s="25" t="s">
        <v>360</v>
      </c>
      <c r="B92" s="313" t="s">
        <v>315</v>
      </c>
      <c r="C92" s="217" t="s">
        <v>349</v>
      </c>
      <c r="D92" s="258" t="s">
        <v>350</v>
      </c>
      <c r="E92" s="192"/>
      <c r="F92" s="17"/>
      <c r="G92" s="17"/>
      <c r="H92" s="78"/>
      <c r="I92" s="277"/>
      <c r="J92" s="218"/>
      <c r="K92" s="17"/>
      <c r="L92" s="262"/>
      <c r="M92" s="251"/>
      <c r="N92" s="232"/>
      <c r="O92" s="3"/>
      <c r="P92" s="3"/>
      <c r="Q92" s="3"/>
      <c r="R92" s="3"/>
      <c r="S92" s="3"/>
      <c r="T92" s="3"/>
      <c r="U92" s="3"/>
      <c r="V92" s="231"/>
      <c r="W92" s="249">
        <v>387000</v>
      </c>
      <c r="X92" s="248"/>
    </row>
    <row r="93" spans="1:25" s="16" customFormat="1" x14ac:dyDescent="0.3">
      <c r="A93" s="25" t="s">
        <v>361</v>
      </c>
      <c r="B93" s="313" t="s">
        <v>316</v>
      </c>
      <c r="C93" s="217" t="s">
        <v>53</v>
      </c>
      <c r="D93" s="258" t="s">
        <v>324</v>
      </c>
      <c r="E93" s="192"/>
      <c r="F93" s="17"/>
      <c r="G93" s="17">
        <f>SUM(H93+I93+J93)</f>
        <v>41800</v>
      </c>
      <c r="H93" s="160">
        <v>41800</v>
      </c>
      <c r="I93" s="277"/>
      <c r="J93" s="218"/>
      <c r="K93" s="17"/>
      <c r="L93" s="262"/>
      <c r="M93" s="251"/>
      <c r="N93" s="232"/>
      <c r="O93" s="3"/>
      <c r="P93" s="3"/>
      <c r="Q93" s="3"/>
      <c r="R93" s="3"/>
      <c r="S93" s="3"/>
      <c r="T93" s="3"/>
      <c r="U93" s="3"/>
      <c r="V93" s="231"/>
      <c r="W93" s="192">
        <v>41800</v>
      </c>
      <c r="X93" s="248"/>
    </row>
    <row r="94" spans="1:25" s="16" customFormat="1" x14ac:dyDescent="0.3">
      <c r="A94" s="25" t="s">
        <v>363</v>
      </c>
      <c r="B94" s="313" t="s">
        <v>317</v>
      </c>
      <c r="C94" s="217" t="s">
        <v>54</v>
      </c>
      <c r="D94" s="258" t="s">
        <v>324</v>
      </c>
      <c r="E94" s="192"/>
      <c r="F94" s="17"/>
      <c r="G94" s="17">
        <f>SUM(H94+I94+J94)</f>
        <v>61106.400000000001</v>
      </c>
      <c r="H94" s="160">
        <v>61106.400000000001</v>
      </c>
      <c r="I94" s="277"/>
      <c r="J94" s="218"/>
      <c r="K94" s="17"/>
      <c r="L94" s="262"/>
      <c r="M94" s="251"/>
      <c r="N94" s="232"/>
      <c r="O94" s="3"/>
      <c r="P94" s="3"/>
      <c r="Q94" s="3"/>
      <c r="R94" s="3"/>
      <c r="S94" s="3"/>
      <c r="T94" s="3"/>
      <c r="U94" s="3"/>
      <c r="V94" s="231"/>
      <c r="W94" s="192">
        <v>61106.400000000001</v>
      </c>
      <c r="X94" s="248"/>
    </row>
    <row r="95" spans="1:25" s="16" customFormat="1" ht="15" thickBot="1" x14ac:dyDescent="0.35">
      <c r="A95" s="25" t="s">
        <v>362</v>
      </c>
      <c r="B95" s="314" t="s">
        <v>318</v>
      </c>
      <c r="C95" s="366" t="s">
        <v>370</v>
      </c>
      <c r="D95" s="331" t="s">
        <v>348</v>
      </c>
      <c r="E95" s="196"/>
      <c r="F95" s="268"/>
      <c r="G95" s="268">
        <v>25000</v>
      </c>
      <c r="H95" s="367"/>
      <c r="I95" s="280"/>
      <c r="J95" s="275"/>
      <c r="K95" s="268"/>
      <c r="L95" s="270"/>
      <c r="M95" s="254"/>
      <c r="N95" s="304"/>
      <c r="O95" s="238"/>
      <c r="P95" s="238"/>
      <c r="Q95" s="238"/>
      <c r="R95" s="238"/>
      <c r="S95" s="238"/>
      <c r="T95" s="238"/>
      <c r="U95" s="238"/>
      <c r="V95" s="240"/>
      <c r="W95" s="196">
        <v>25000</v>
      </c>
      <c r="X95" s="368"/>
    </row>
    <row r="96" spans="1:25" ht="15" thickBot="1" x14ac:dyDescent="0.35">
      <c r="B96" s="354"/>
      <c r="C96" s="355"/>
      <c r="D96" s="356"/>
      <c r="E96" s="344"/>
      <c r="F96" s="221"/>
      <c r="G96" s="221"/>
      <c r="H96" s="345"/>
      <c r="I96" s="346"/>
      <c r="J96" s="347"/>
      <c r="K96" s="221"/>
      <c r="L96" s="348"/>
      <c r="M96" s="349"/>
      <c r="N96" s="357"/>
      <c r="O96" s="221"/>
      <c r="P96" s="221"/>
      <c r="Q96" s="221"/>
      <c r="R96" s="221"/>
      <c r="S96" s="221"/>
      <c r="T96" s="221"/>
      <c r="U96" s="221"/>
      <c r="V96" s="352"/>
      <c r="W96" s="344"/>
      <c r="X96" s="364"/>
    </row>
    <row r="97" spans="1:25" x14ac:dyDescent="0.3">
      <c r="B97" s="306"/>
      <c r="C97" s="334" t="s">
        <v>62</v>
      </c>
      <c r="D97" s="335"/>
      <c r="E97" s="318">
        <f>SUM(E98)</f>
        <v>919712.55</v>
      </c>
      <c r="F97" s="319">
        <f t="shared" ref="F97:L97" si="20">SUM(F98)</f>
        <v>0</v>
      </c>
      <c r="G97" s="319">
        <f>SUM(G98)</f>
        <v>379257.27</v>
      </c>
      <c r="H97" s="320">
        <f t="shared" si="20"/>
        <v>270259.76</v>
      </c>
      <c r="I97" s="321">
        <f t="shared" si="20"/>
        <v>13015.04</v>
      </c>
      <c r="J97" s="322">
        <f t="shared" si="20"/>
        <v>95982.47</v>
      </c>
      <c r="K97" s="319">
        <f t="shared" si="20"/>
        <v>0</v>
      </c>
      <c r="L97" s="323">
        <f t="shared" si="20"/>
        <v>15290.47</v>
      </c>
      <c r="M97" s="309"/>
      <c r="N97" s="310"/>
      <c r="O97" s="311"/>
      <c r="P97" s="311"/>
      <c r="Q97" s="311"/>
      <c r="R97" s="311"/>
      <c r="S97" s="311"/>
      <c r="T97" s="311"/>
      <c r="U97" s="311"/>
      <c r="V97" s="312"/>
      <c r="W97" s="369"/>
      <c r="X97" s="329">
        <f>SUM(E97*0.07)</f>
        <v>64379.878500000006</v>
      </c>
    </row>
    <row r="98" spans="1:25" ht="15" thickBot="1" x14ac:dyDescent="0.35">
      <c r="B98" s="314" t="s">
        <v>2</v>
      </c>
      <c r="C98" s="330" t="s">
        <v>60</v>
      </c>
      <c r="D98" s="340" t="s">
        <v>61</v>
      </c>
      <c r="E98" s="196">
        <v>919712.55</v>
      </c>
      <c r="F98" s="268"/>
      <c r="G98" s="269">
        <f>SUM(H98+I98+J98)</f>
        <v>379257.27</v>
      </c>
      <c r="H98" s="274">
        <f>283274.8-I98</f>
        <v>270259.76</v>
      </c>
      <c r="I98" s="280">
        <v>13015.04</v>
      </c>
      <c r="J98" s="275">
        <v>95982.47</v>
      </c>
      <c r="K98" s="268"/>
      <c r="L98" s="270">
        <v>15290.47</v>
      </c>
      <c r="M98" s="254" t="s">
        <v>76</v>
      </c>
      <c r="N98" s="237"/>
      <c r="O98" s="238"/>
      <c r="P98" s="239"/>
      <c r="Q98" s="238"/>
      <c r="R98" s="238"/>
      <c r="S98" s="238"/>
      <c r="T98" s="238"/>
      <c r="U98" s="238"/>
      <c r="V98" s="240"/>
      <c r="W98" s="196"/>
      <c r="X98" s="250"/>
    </row>
    <row r="99" spans="1:25" s="8" customFormat="1" ht="15" thickBot="1" x14ac:dyDescent="0.35">
      <c r="A99" s="25"/>
      <c r="B99" s="165"/>
      <c r="C99" s="1"/>
      <c r="D99" s="1"/>
      <c r="E99" s="5"/>
      <c r="F99" s="5"/>
      <c r="G99" s="5"/>
      <c r="H99" s="5"/>
      <c r="I99" s="5"/>
      <c r="J99" s="5"/>
      <c r="K99" s="5"/>
      <c r="L99" s="5"/>
      <c r="M99" s="13"/>
      <c r="N99" s="12"/>
      <c r="O99" s="6"/>
      <c r="P99" s="6"/>
      <c r="Q99" s="6"/>
      <c r="R99" s="6"/>
      <c r="S99" s="6"/>
      <c r="T99" s="6"/>
      <c r="U99" s="6"/>
      <c r="V99" s="10"/>
      <c r="W99" s="5"/>
      <c r="X99" s="2"/>
      <c r="Y99" s="2"/>
    </row>
    <row r="100" spans="1:25" s="124" customFormat="1" ht="15" thickBot="1" x14ac:dyDescent="0.35">
      <c r="B100" s="414" t="s">
        <v>71</v>
      </c>
      <c r="C100" s="415"/>
      <c r="D100" s="415"/>
      <c r="E100" s="416">
        <f>SUM(E7+E35+E42+E49+E59+E65+E72+E97)</f>
        <v>30076910.589499999</v>
      </c>
      <c r="F100" s="416"/>
      <c r="G100" s="416">
        <f>SUM(G7+G35+G42+G49+G59+G65+G72+G97)</f>
        <v>6288929.7400000002</v>
      </c>
      <c r="H100" s="416"/>
      <c r="I100" s="416"/>
      <c r="J100" s="416"/>
      <c r="K100" s="416">
        <f>SUM(K7+K35+K42+K49+K59+K65+K72+K97)</f>
        <v>23000</v>
      </c>
      <c r="L100" s="416">
        <f>SUM(L7+L35+L42+L49+L59+L65+L72+L97)</f>
        <v>480290.47</v>
      </c>
      <c r="M100" s="417"/>
      <c r="N100" s="418"/>
      <c r="O100" s="419"/>
      <c r="P100" s="419"/>
      <c r="Q100" s="419"/>
      <c r="R100" s="419"/>
      <c r="S100" s="419"/>
      <c r="T100" s="419"/>
      <c r="U100" s="419"/>
      <c r="V100" s="420"/>
      <c r="W100" s="416">
        <f>SUM(W7+W35+W42+W49+W59+W65+W72+W97)</f>
        <v>1196223.3999999999</v>
      </c>
      <c r="X100" s="421">
        <f>SUM(X7+X35+X42+X49+X59+X65+X72+X97)</f>
        <v>2105383.7412650003</v>
      </c>
    </row>
    <row r="101" spans="1:25" s="25" customFormat="1" x14ac:dyDescent="0.3">
      <c r="B101" s="165"/>
      <c r="C101" s="1"/>
      <c r="D101" s="1"/>
      <c r="E101" s="5"/>
      <c r="F101" s="5"/>
      <c r="G101" s="5"/>
      <c r="H101" s="5"/>
      <c r="I101" s="5"/>
      <c r="J101" s="5"/>
      <c r="K101" s="5"/>
      <c r="L101" s="5"/>
      <c r="M101" s="13"/>
      <c r="N101" s="12"/>
      <c r="O101" s="6"/>
      <c r="P101" s="6"/>
      <c r="Q101" s="6"/>
      <c r="R101" s="6"/>
      <c r="S101" s="6"/>
      <c r="T101" s="6"/>
      <c r="U101" s="6"/>
      <c r="V101" s="10"/>
      <c r="W101" s="5"/>
    </row>
    <row r="102" spans="1:25" s="25" customFormat="1" x14ac:dyDescent="0.3">
      <c r="B102" s="165"/>
      <c r="C102" s="1"/>
      <c r="D102" s="1" t="s">
        <v>525</v>
      </c>
      <c r="E102" s="413">
        <f>SUM(E100+G100+K100+L100)</f>
        <v>36869130.799499996</v>
      </c>
      <c r="F102" s="5"/>
      <c r="G102" s="5"/>
      <c r="H102" s="5"/>
      <c r="I102" s="5"/>
      <c r="J102" s="5"/>
      <c r="K102" s="5"/>
      <c r="L102" s="5"/>
      <c r="M102" s="13"/>
      <c r="N102" s="12"/>
      <c r="O102" s="6"/>
      <c r="P102" s="6"/>
      <c r="Q102" s="6"/>
      <c r="R102" s="6"/>
      <c r="S102" s="6"/>
      <c r="T102" s="6"/>
      <c r="U102" s="6"/>
      <c r="V102" s="10"/>
      <c r="W102" s="5"/>
    </row>
    <row r="103" spans="1:25" s="25" customFormat="1" x14ac:dyDescent="0.3">
      <c r="B103" s="165"/>
      <c r="C103" s="1"/>
      <c r="D103" s="1" t="s">
        <v>526</v>
      </c>
      <c r="E103" s="413">
        <v>2552340.6499999994</v>
      </c>
      <c r="F103" s="5"/>
      <c r="G103" s="5"/>
      <c r="H103" s="5"/>
      <c r="I103" s="5"/>
      <c r="J103" s="5"/>
      <c r="K103" s="5"/>
      <c r="L103" s="5"/>
      <c r="M103" s="13"/>
      <c r="N103" s="12"/>
      <c r="O103" s="6"/>
      <c r="P103" s="6"/>
      <c r="Q103" s="6"/>
      <c r="R103" s="6"/>
      <c r="S103" s="6"/>
      <c r="T103" s="6"/>
      <c r="U103" s="6"/>
      <c r="V103" s="10"/>
      <c r="W103" s="5"/>
    </row>
    <row r="104" spans="1:25" s="25" customFormat="1" ht="15.6" x14ac:dyDescent="0.3">
      <c r="B104" s="165"/>
      <c r="C104" s="1"/>
      <c r="D104" s="1" t="s">
        <v>527</v>
      </c>
      <c r="E104" s="422">
        <f>SUM(E102:E103)</f>
        <v>39421471.449499995</v>
      </c>
      <c r="F104" s="5"/>
      <c r="G104" s="5"/>
      <c r="H104" s="5"/>
      <c r="I104" s="5"/>
      <c r="J104" s="5"/>
      <c r="K104" s="5"/>
      <c r="L104" s="5"/>
      <c r="M104" s="13"/>
      <c r="N104" s="12"/>
      <c r="O104" s="6"/>
      <c r="P104" s="6"/>
      <c r="Q104" s="6"/>
      <c r="R104" s="6"/>
      <c r="S104" s="6"/>
      <c r="T104" s="6"/>
      <c r="U104" s="6"/>
      <c r="V104" s="10"/>
      <c r="W104" s="5"/>
    </row>
    <row r="105" spans="1:25" x14ac:dyDescent="0.3">
      <c r="B105" s="197"/>
      <c r="C105" s="68"/>
      <c r="D105" s="68"/>
      <c r="E105" s="70"/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70"/>
      <c r="R105" s="70"/>
      <c r="S105" s="70"/>
      <c r="T105" s="70"/>
      <c r="U105" s="70"/>
      <c r="V105" s="70"/>
      <c r="W105" s="70"/>
    </row>
    <row r="106" spans="1:25" ht="15" thickBot="1" x14ac:dyDescent="0.35">
      <c r="B106" s="67"/>
      <c r="C106" s="68"/>
      <c r="D106" s="68"/>
      <c r="E106" s="70"/>
      <c r="F106" s="70"/>
      <c r="G106" s="70"/>
      <c r="H106" s="70"/>
      <c r="I106" s="70"/>
      <c r="J106" s="70"/>
      <c r="K106" s="70"/>
      <c r="L106" s="70"/>
      <c r="M106" s="71"/>
      <c r="N106" s="71"/>
      <c r="O106" s="70"/>
      <c r="P106" s="70"/>
      <c r="Q106" s="70"/>
      <c r="R106" s="70"/>
      <c r="S106" s="70"/>
      <c r="T106" s="70"/>
      <c r="U106" s="70"/>
      <c r="V106" s="70"/>
      <c r="W106" s="70"/>
    </row>
    <row r="107" spans="1:25" x14ac:dyDescent="0.3">
      <c r="B107" s="166" t="s">
        <v>116</v>
      </c>
      <c r="C107" s="72" t="s">
        <v>117</v>
      </c>
      <c r="D107" s="380" t="s">
        <v>115</v>
      </c>
      <c r="E107" s="380"/>
      <c r="F107" s="79"/>
      <c r="G107" s="79"/>
      <c r="H107" s="66"/>
      <c r="I107" s="59"/>
      <c r="J107" s="59"/>
      <c r="K107" s="59"/>
      <c r="L107" s="59"/>
      <c r="M107" s="60"/>
      <c r="N107" s="60"/>
      <c r="O107" s="59"/>
      <c r="P107" s="59"/>
      <c r="Q107" s="59"/>
      <c r="R107" s="59"/>
      <c r="S107" s="59"/>
      <c r="T107" s="59"/>
      <c r="U107" s="59"/>
      <c r="V107" s="59"/>
      <c r="W107" s="59"/>
    </row>
    <row r="108" spans="1:25" x14ac:dyDescent="0.3">
      <c r="B108" s="163"/>
      <c r="C108" s="73"/>
      <c r="D108" s="379" t="s">
        <v>118</v>
      </c>
      <c r="E108" s="379"/>
      <c r="F108" s="79"/>
      <c r="G108" s="79"/>
      <c r="H108" s="59"/>
      <c r="I108" s="59"/>
      <c r="J108" s="59"/>
      <c r="K108" s="59"/>
      <c r="L108" s="59"/>
      <c r="M108" s="60"/>
      <c r="N108" s="60"/>
      <c r="O108" s="59"/>
      <c r="P108" s="59"/>
      <c r="Q108" s="59"/>
      <c r="R108" s="59"/>
      <c r="S108" s="59"/>
      <c r="T108" s="59"/>
      <c r="U108" s="59"/>
      <c r="V108" s="59"/>
      <c r="W108" s="59"/>
    </row>
    <row r="109" spans="1:25" s="25" customFormat="1" x14ac:dyDescent="0.3">
      <c r="B109" s="163"/>
      <c r="C109" s="73"/>
      <c r="D109" s="379" t="s">
        <v>231</v>
      </c>
      <c r="E109" s="379"/>
      <c r="F109" s="79"/>
      <c r="G109" s="79"/>
      <c r="H109" s="59"/>
      <c r="I109" s="59"/>
      <c r="J109" s="59"/>
      <c r="K109" s="59"/>
      <c r="L109" s="59"/>
      <c r="M109" s="60"/>
      <c r="N109" s="60"/>
      <c r="O109" s="59"/>
      <c r="P109" s="59"/>
      <c r="Q109" s="59"/>
      <c r="R109" s="59"/>
      <c r="S109" s="59"/>
      <c r="T109" s="59"/>
      <c r="U109" s="59"/>
      <c r="V109" s="59"/>
      <c r="W109" s="59"/>
    </row>
    <row r="110" spans="1:25" ht="15" thickBot="1" x14ac:dyDescent="0.35">
      <c r="B110" s="163"/>
      <c r="C110" s="74"/>
      <c r="D110" s="370" t="s">
        <v>119</v>
      </c>
      <c r="E110" s="370"/>
      <c r="F110" s="79"/>
      <c r="G110" s="79"/>
      <c r="H110" s="59"/>
      <c r="I110" s="59"/>
      <c r="J110" s="59"/>
      <c r="K110" s="59"/>
      <c r="L110" s="59"/>
      <c r="M110" s="60"/>
      <c r="N110" s="60"/>
      <c r="O110" s="59"/>
      <c r="P110" s="59"/>
      <c r="Q110" s="59"/>
      <c r="R110" s="59"/>
      <c r="S110" s="59"/>
      <c r="T110" s="59"/>
      <c r="U110" s="59"/>
      <c r="V110" s="59"/>
      <c r="W110" s="59"/>
    </row>
    <row r="111" spans="1:25" x14ac:dyDescent="0.3">
      <c r="G111" s="173"/>
      <c r="H111" s="173"/>
      <c r="I111" s="173"/>
    </row>
    <row r="112" spans="1:25" x14ac:dyDescent="0.3">
      <c r="G112" s="173"/>
      <c r="H112" s="173"/>
      <c r="I112" s="173"/>
    </row>
    <row r="113" spans="7:9" x14ac:dyDescent="0.3">
      <c r="G113" s="173"/>
      <c r="H113" s="173"/>
      <c r="I113" s="173"/>
    </row>
    <row r="114" spans="7:9" x14ac:dyDescent="0.3">
      <c r="G114" s="173"/>
      <c r="H114" s="173"/>
      <c r="I114" s="173"/>
    </row>
    <row r="115" spans="7:9" x14ac:dyDescent="0.3">
      <c r="G115" s="173"/>
      <c r="H115" s="173"/>
      <c r="I115" s="173"/>
    </row>
    <row r="116" spans="7:9" x14ac:dyDescent="0.3">
      <c r="G116" s="173"/>
      <c r="H116" s="173"/>
      <c r="I116" s="173"/>
    </row>
    <row r="117" spans="7:9" x14ac:dyDescent="0.3">
      <c r="G117" s="173"/>
      <c r="H117" s="173"/>
      <c r="I117" s="173"/>
    </row>
  </sheetData>
  <mergeCells count="11">
    <mergeCell ref="W4:X4"/>
    <mergeCell ref="C2:D2"/>
    <mergeCell ref="D110:E110"/>
    <mergeCell ref="N4:V4"/>
    <mergeCell ref="E4:F4"/>
    <mergeCell ref="J4:L4"/>
    <mergeCell ref="F2:M2"/>
    <mergeCell ref="D109:E109"/>
    <mergeCell ref="D107:E107"/>
    <mergeCell ref="D108:E108"/>
    <mergeCell ref="E5:F5"/>
  </mergeCells>
  <phoneticPr fontId="38" type="noConversion"/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10099-593E-47BB-849F-36D2EB005931}">
  <sheetPr>
    <tabColor theme="9" tint="0.79998168889431442"/>
  </sheetPr>
  <dimension ref="A1:L15"/>
  <sheetViews>
    <sheetView workbookViewId="0">
      <selection activeCell="D29" sqref="D29"/>
    </sheetView>
  </sheetViews>
  <sheetFormatPr defaultRowHeight="14.4" x14ac:dyDescent="0.3"/>
  <cols>
    <col min="1" max="1" width="25" style="25" customWidth="1"/>
    <col min="2" max="3" width="25.44140625" style="25" customWidth="1"/>
    <col min="4" max="4" width="25.5546875" style="25" customWidth="1"/>
    <col min="5" max="6" width="17.6640625" style="25" customWidth="1"/>
    <col min="7" max="256" width="9.109375" style="25"/>
    <col min="257" max="257" width="25" style="25" customWidth="1"/>
    <col min="258" max="259" width="25.44140625" style="25" customWidth="1"/>
    <col min="260" max="260" width="25.5546875" style="25" customWidth="1"/>
    <col min="261" max="262" width="17.6640625" style="25" customWidth="1"/>
    <col min="263" max="512" width="9.109375" style="25"/>
    <col min="513" max="513" width="25" style="25" customWidth="1"/>
    <col min="514" max="515" width="25.44140625" style="25" customWidth="1"/>
    <col min="516" max="516" width="25.5546875" style="25" customWidth="1"/>
    <col min="517" max="518" width="17.6640625" style="25" customWidth="1"/>
    <col min="519" max="768" width="9.109375" style="25"/>
    <col min="769" max="769" width="25" style="25" customWidth="1"/>
    <col min="770" max="771" width="25.44140625" style="25" customWidth="1"/>
    <col min="772" max="772" width="25.5546875" style="25" customWidth="1"/>
    <col min="773" max="774" width="17.6640625" style="25" customWidth="1"/>
    <col min="775" max="1024" width="9.109375" style="25"/>
    <col min="1025" max="1025" width="25" style="25" customWidth="1"/>
    <col min="1026" max="1027" width="25.44140625" style="25" customWidth="1"/>
    <col min="1028" max="1028" width="25.5546875" style="25" customWidth="1"/>
    <col min="1029" max="1030" width="17.6640625" style="25" customWidth="1"/>
    <col min="1031" max="1280" width="9.109375" style="25"/>
    <col min="1281" max="1281" width="25" style="25" customWidth="1"/>
    <col min="1282" max="1283" width="25.44140625" style="25" customWidth="1"/>
    <col min="1284" max="1284" width="25.5546875" style="25" customWidth="1"/>
    <col min="1285" max="1286" width="17.6640625" style="25" customWidth="1"/>
    <col min="1287" max="1536" width="9.109375" style="25"/>
    <col min="1537" max="1537" width="25" style="25" customWidth="1"/>
    <col min="1538" max="1539" width="25.44140625" style="25" customWidth="1"/>
    <col min="1540" max="1540" width="25.5546875" style="25" customWidth="1"/>
    <col min="1541" max="1542" width="17.6640625" style="25" customWidth="1"/>
    <col min="1543" max="1792" width="9.109375" style="25"/>
    <col min="1793" max="1793" width="25" style="25" customWidth="1"/>
    <col min="1794" max="1795" width="25.44140625" style="25" customWidth="1"/>
    <col min="1796" max="1796" width="25.5546875" style="25" customWidth="1"/>
    <col min="1797" max="1798" width="17.6640625" style="25" customWidth="1"/>
    <col min="1799" max="2048" width="9.109375" style="25"/>
    <col min="2049" max="2049" width="25" style="25" customWidth="1"/>
    <col min="2050" max="2051" width="25.44140625" style="25" customWidth="1"/>
    <col min="2052" max="2052" width="25.5546875" style="25" customWidth="1"/>
    <col min="2053" max="2054" width="17.6640625" style="25" customWidth="1"/>
    <col min="2055" max="2304" width="9.109375" style="25"/>
    <col min="2305" max="2305" width="25" style="25" customWidth="1"/>
    <col min="2306" max="2307" width="25.44140625" style="25" customWidth="1"/>
    <col min="2308" max="2308" width="25.5546875" style="25" customWidth="1"/>
    <col min="2309" max="2310" width="17.6640625" style="25" customWidth="1"/>
    <col min="2311" max="2560" width="9.109375" style="25"/>
    <col min="2561" max="2561" width="25" style="25" customWidth="1"/>
    <col min="2562" max="2563" width="25.44140625" style="25" customWidth="1"/>
    <col min="2564" max="2564" width="25.5546875" style="25" customWidth="1"/>
    <col min="2565" max="2566" width="17.6640625" style="25" customWidth="1"/>
    <col min="2567" max="2816" width="9.109375" style="25"/>
    <col min="2817" max="2817" width="25" style="25" customWidth="1"/>
    <col min="2818" max="2819" width="25.44140625" style="25" customWidth="1"/>
    <col min="2820" max="2820" width="25.5546875" style="25" customWidth="1"/>
    <col min="2821" max="2822" width="17.6640625" style="25" customWidth="1"/>
    <col min="2823" max="3072" width="9.109375" style="25"/>
    <col min="3073" max="3073" width="25" style="25" customWidth="1"/>
    <col min="3074" max="3075" width="25.44140625" style="25" customWidth="1"/>
    <col min="3076" max="3076" width="25.5546875" style="25" customWidth="1"/>
    <col min="3077" max="3078" width="17.6640625" style="25" customWidth="1"/>
    <col min="3079" max="3328" width="9.109375" style="25"/>
    <col min="3329" max="3329" width="25" style="25" customWidth="1"/>
    <col min="3330" max="3331" width="25.44140625" style="25" customWidth="1"/>
    <col min="3332" max="3332" width="25.5546875" style="25" customWidth="1"/>
    <col min="3333" max="3334" width="17.6640625" style="25" customWidth="1"/>
    <col min="3335" max="3584" width="9.109375" style="25"/>
    <col min="3585" max="3585" width="25" style="25" customWidth="1"/>
    <col min="3586" max="3587" width="25.44140625" style="25" customWidth="1"/>
    <col min="3588" max="3588" width="25.5546875" style="25" customWidth="1"/>
    <col min="3589" max="3590" width="17.6640625" style="25" customWidth="1"/>
    <col min="3591" max="3840" width="9.109375" style="25"/>
    <col min="3841" max="3841" width="25" style="25" customWidth="1"/>
    <col min="3842" max="3843" width="25.44140625" style="25" customWidth="1"/>
    <col min="3844" max="3844" width="25.5546875" style="25" customWidth="1"/>
    <col min="3845" max="3846" width="17.6640625" style="25" customWidth="1"/>
    <col min="3847" max="4096" width="9.109375" style="25"/>
    <col min="4097" max="4097" width="25" style="25" customWidth="1"/>
    <col min="4098" max="4099" width="25.44140625" style="25" customWidth="1"/>
    <col min="4100" max="4100" width="25.5546875" style="25" customWidth="1"/>
    <col min="4101" max="4102" width="17.6640625" style="25" customWidth="1"/>
    <col min="4103" max="4352" width="9.109375" style="25"/>
    <col min="4353" max="4353" width="25" style="25" customWidth="1"/>
    <col min="4354" max="4355" width="25.44140625" style="25" customWidth="1"/>
    <col min="4356" max="4356" width="25.5546875" style="25" customWidth="1"/>
    <col min="4357" max="4358" width="17.6640625" style="25" customWidth="1"/>
    <col min="4359" max="4608" width="9.109375" style="25"/>
    <col min="4609" max="4609" width="25" style="25" customWidth="1"/>
    <col min="4610" max="4611" width="25.44140625" style="25" customWidth="1"/>
    <col min="4612" max="4612" width="25.5546875" style="25" customWidth="1"/>
    <col min="4613" max="4614" width="17.6640625" style="25" customWidth="1"/>
    <col min="4615" max="4864" width="9.109375" style="25"/>
    <col min="4865" max="4865" width="25" style="25" customWidth="1"/>
    <col min="4866" max="4867" width="25.44140625" style="25" customWidth="1"/>
    <col min="4868" max="4868" width="25.5546875" style="25" customWidth="1"/>
    <col min="4869" max="4870" width="17.6640625" style="25" customWidth="1"/>
    <col min="4871" max="5120" width="9.109375" style="25"/>
    <col min="5121" max="5121" width="25" style="25" customWidth="1"/>
    <col min="5122" max="5123" width="25.44140625" style="25" customWidth="1"/>
    <col min="5124" max="5124" width="25.5546875" style="25" customWidth="1"/>
    <col min="5125" max="5126" width="17.6640625" style="25" customWidth="1"/>
    <col min="5127" max="5376" width="9.109375" style="25"/>
    <col min="5377" max="5377" width="25" style="25" customWidth="1"/>
    <col min="5378" max="5379" width="25.44140625" style="25" customWidth="1"/>
    <col min="5380" max="5380" width="25.5546875" style="25" customWidth="1"/>
    <col min="5381" max="5382" width="17.6640625" style="25" customWidth="1"/>
    <col min="5383" max="5632" width="9.109375" style="25"/>
    <col min="5633" max="5633" width="25" style="25" customWidth="1"/>
    <col min="5634" max="5635" width="25.44140625" style="25" customWidth="1"/>
    <col min="5636" max="5636" width="25.5546875" style="25" customWidth="1"/>
    <col min="5637" max="5638" width="17.6640625" style="25" customWidth="1"/>
    <col min="5639" max="5888" width="9.109375" style="25"/>
    <col min="5889" max="5889" width="25" style="25" customWidth="1"/>
    <col min="5890" max="5891" width="25.44140625" style="25" customWidth="1"/>
    <col min="5892" max="5892" width="25.5546875" style="25" customWidth="1"/>
    <col min="5893" max="5894" width="17.6640625" style="25" customWidth="1"/>
    <col min="5895" max="6144" width="9.109375" style="25"/>
    <col min="6145" max="6145" width="25" style="25" customWidth="1"/>
    <col min="6146" max="6147" width="25.44140625" style="25" customWidth="1"/>
    <col min="6148" max="6148" width="25.5546875" style="25" customWidth="1"/>
    <col min="6149" max="6150" width="17.6640625" style="25" customWidth="1"/>
    <col min="6151" max="6400" width="9.109375" style="25"/>
    <col min="6401" max="6401" width="25" style="25" customWidth="1"/>
    <col min="6402" max="6403" width="25.44140625" style="25" customWidth="1"/>
    <col min="6404" max="6404" width="25.5546875" style="25" customWidth="1"/>
    <col min="6405" max="6406" width="17.6640625" style="25" customWidth="1"/>
    <col min="6407" max="6656" width="9.109375" style="25"/>
    <col min="6657" max="6657" width="25" style="25" customWidth="1"/>
    <col min="6658" max="6659" width="25.44140625" style="25" customWidth="1"/>
    <col min="6660" max="6660" width="25.5546875" style="25" customWidth="1"/>
    <col min="6661" max="6662" width="17.6640625" style="25" customWidth="1"/>
    <col min="6663" max="6912" width="9.109375" style="25"/>
    <col min="6913" max="6913" width="25" style="25" customWidth="1"/>
    <col min="6914" max="6915" width="25.44140625" style="25" customWidth="1"/>
    <col min="6916" max="6916" width="25.5546875" style="25" customWidth="1"/>
    <col min="6917" max="6918" width="17.6640625" style="25" customWidth="1"/>
    <col min="6919" max="7168" width="9.109375" style="25"/>
    <col min="7169" max="7169" width="25" style="25" customWidth="1"/>
    <col min="7170" max="7171" width="25.44140625" style="25" customWidth="1"/>
    <col min="7172" max="7172" width="25.5546875" style="25" customWidth="1"/>
    <col min="7173" max="7174" width="17.6640625" style="25" customWidth="1"/>
    <col min="7175" max="7424" width="9.109375" style="25"/>
    <col min="7425" max="7425" width="25" style="25" customWidth="1"/>
    <col min="7426" max="7427" width="25.44140625" style="25" customWidth="1"/>
    <col min="7428" max="7428" width="25.5546875" style="25" customWidth="1"/>
    <col min="7429" max="7430" width="17.6640625" style="25" customWidth="1"/>
    <col min="7431" max="7680" width="9.109375" style="25"/>
    <col min="7681" max="7681" width="25" style="25" customWidth="1"/>
    <col min="7682" max="7683" width="25.44140625" style="25" customWidth="1"/>
    <col min="7684" max="7684" width="25.5546875" style="25" customWidth="1"/>
    <col min="7685" max="7686" width="17.6640625" style="25" customWidth="1"/>
    <col min="7687" max="7936" width="9.109375" style="25"/>
    <col min="7937" max="7937" width="25" style="25" customWidth="1"/>
    <col min="7938" max="7939" width="25.44140625" style="25" customWidth="1"/>
    <col min="7940" max="7940" width="25.5546875" style="25" customWidth="1"/>
    <col min="7941" max="7942" width="17.6640625" style="25" customWidth="1"/>
    <col min="7943" max="8192" width="9.109375" style="25"/>
    <col min="8193" max="8193" width="25" style="25" customWidth="1"/>
    <col min="8194" max="8195" width="25.44140625" style="25" customWidth="1"/>
    <col min="8196" max="8196" width="25.5546875" style="25" customWidth="1"/>
    <col min="8197" max="8198" width="17.6640625" style="25" customWidth="1"/>
    <col min="8199" max="8448" width="9.109375" style="25"/>
    <col min="8449" max="8449" width="25" style="25" customWidth="1"/>
    <col min="8450" max="8451" width="25.44140625" style="25" customWidth="1"/>
    <col min="8452" max="8452" width="25.5546875" style="25" customWidth="1"/>
    <col min="8453" max="8454" width="17.6640625" style="25" customWidth="1"/>
    <col min="8455" max="8704" width="9.109375" style="25"/>
    <col min="8705" max="8705" width="25" style="25" customWidth="1"/>
    <col min="8706" max="8707" width="25.44140625" style="25" customWidth="1"/>
    <col min="8708" max="8708" width="25.5546875" style="25" customWidth="1"/>
    <col min="8709" max="8710" width="17.6640625" style="25" customWidth="1"/>
    <col min="8711" max="8960" width="9.109375" style="25"/>
    <col min="8961" max="8961" width="25" style="25" customWidth="1"/>
    <col min="8962" max="8963" width="25.44140625" style="25" customWidth="1"/>
    <col min="8964" max="8964" width="25.5546875" style="25" customWidth="1"/>
    <col min="8965" max="8966" width="17.6640625" style="25" customWidth="1"/>
    <col min="8967" max="9216" width="9.109375" style="25"/>
    <col min="9217" max="9217" width="25" style="25" customWidth="1"/>
    <col min="9218" max="9219" width="25.44140625" style="25" customWidth="1"/>
    <col min="9220" max="9220" width="25.5546875" style="25" customWidth="1"/>
    <col min="9221" max="9222" width="17.6640625" style="25" customWidth="1"/>
    <col min="9223" max="9472" width="9.109375" style="25"/>
    <col min="9473" max="9473" width="25" style="25" customWidth="1"/>
    <col min="9474" max="9475" width="25.44140625" style="25" customWidth="1"/>
    <col min="9476" max="9476" width="25.5546875" style="25" customWidth="1"/>
    <col min="9477" max="9478" width="17.6640625" style="25" customWidth="1"/>
    <col min="9479" max="9728" width="9.109375" style="25"/>
    <col min="9729" max="9729" width="25" style="25" customWidth="1"/>
    <col min="9730" max="9731" width="25.44140625" style="25" customWidth="1"/>
    <col min="9732" max="9732" width="25.5546875" style="25" customWidth="1"/>
    <col min="9733" max="9734" width="17.6640625" style="25" customWidth="1"/>
    <col min="9735" max="9984" width="9.109375" style="25"/>
    <col min="9985" max="9985" width="25" style="25" customWidth="1"/>
    <col min="9986" max="9987" width="25.44140625" style="25" customWidth="1"/>
    <col min="9988" max="9988" width="25.5546875" style="25" customWidth="1"/>
    <col min="9989" max="9990" width="17.6640625" style="25" customWidth="1"/>
    <col min="9991" max="10240" width="9.109375" style="25"/>
    <col min="10241" max="10241" width="25" style="25" customWidth="1"/>
    <col min="10242" max="10243" width="25.44140625" style="25" customWidth="1"/>
    <col min="10244" max="10244" width="25.5546875" style="25" customWidth="1"/>
    <col min="10245" max="10246" width="17.6640625" style="25" customWidth="1"/>
    <col min="10247" max="10496" width="9.109375" style="25"/>
    <col min="10497" max="10497" width="25" style="25" customWidth="1"/>
    <col min="10498" max="10499" width="25.44140625" style="25" customWidth="1"/>
    <col min="10500" max="10500" width="25.5546875" style="25" customWidth="1"/>
    <col min="10501" max="10502" width="17.6640625" style="25" customWidth="1"/>
    <col min="10503" max="10752" width="9.109375" style="25"/>
    <col min="10753" max="10753" width="25" style="25" customWidth="1"/>
    <col min="10754" max="10755" width="25.44140625" style="25" customWidth="1"/>
    <col min="10756" max="10756" width="25.5546875" style="25" customWidth="1"/>
    <col min="10757" max="10758" width="17.6640625" style="25" customWidth="1"/>
    <col min="10759" max="11008" width="9.109375" style="25"/>
    <col min="11009" max="11009" width="25" style="25" customWidth="1"/>
    <col min="11010" max="11011" width="25.44140625" style="25" customWidth="1"/>
    <col min="11012" max="11012" width="25.5546875" style="25" customWidth="1"/>
    <col min="11013" max="11014" width="17.6640625" style="25" customWidth="1"/>
    <col min="11015" max="11264" width="9.109375" style="25"/>
    <col min="11265" max="11265" width="25" style="25" customWidth="1"/>
    <col min="11266" max="11267" width="25.44140625" style="25" customWidth="1"/>
    <col min="11268" max="11268" width="25.5546875" style="25" customWidth="1"/>
    <col min="11269" max="11270" width="17.6640625" style="25" customWidth="1"/>
    <col min="11271" max="11520" width="9.109375" style="25"/>
    <col min="11521" max="11521" width="25" style="25" customWidth="1"/>
    <col min="11522" max="11523" width="25.44140625" style="25" customWidth="1"/>
    <col min="11524" max="11524" width="25.5546875" style="25" customWidth="1"/>
    <col min="11525" max="11526" width="17.6640625" style="25" customWidth="1"/>
    <col min="11527" max="11776" width="9.109375" style="25"/>
    <col min="11777" max="11777" width="25" style="25" customWidth="1"/>
    <col min="11778" max="11779" width="25.44140625" style="25" customWidth="1"/>
    <col min="11780" max="11780" width="25.5546875" style="25" customWidth="1"/>
    <col min="11781" max="11782" width="17.6640625" style="25" customWidth="1"/>
    <col min="11783" max="12032" width="9.109375" style="25"/>
    <col min="12033" max="12033" width="25" style="25" customWidth="1"/>
    <col min="12034" max="12035" width="25.44140625" style="25" customWidth="1"/>
    <col min="12036" max="12036" width="25.5546875" style="25" customWidth="1"/>
    <col min="12037" max="12038" width="17.6640625" style="25" customWidth="1"/>
    <col min="12039" max="12288" width="9.109375" style="25"/>
    <col min="12289" max="12289" width="25" style="25" customWidth="1"/>
    <col min="12290" max="12291" width="25.44140625" style="25" customWidth="1"/>
    <col min="12292" max="12292" width="25.5546875" style="25" customWidth="1"/>
    <col min="12293" max="12294" width="17.6640625" style="25" customWidth="1"/>
    <col min="12295" max="12544" width="9.109375" style="25"/>
    <col min="12545" max="12545" width="25" style="25" customWidth="1"/>
    <col min="12546" max="12547" width="25.44140625" style="25" customWidth="1"/>
    <col min="12548" max="12548" width="25.5546875" style="25" customWidth="1"/>
    <col min="12549" max="12550" width="17.6640625" style="25" customWidth="1"/>
    <col min="12551" max="12800" width="9.109375" style="25"/>
    <col min="12801" max="12801" width="25" style="25" customWidth="1"/>
    <col min="12802" max="12803" width="25.44140625" style="25" customWidth="1"/>
    <col min="12804" max="12804" width="25.5546875" style="25" customWidth="1"/>
    <col min="12805" max="12806" width="17.6640625" style="25" customWidth="1"/>
    <col min="12807" max="13056" width="9.109375" style="25"/>
    <col min="13057" max="13057" width="25" style="25" customWidth="1"/>
    <col min="13058" max="13059" width="25.44140625" style="25" customWidth="1"/>
    <col min="13060" max="13060" width="25.5546875" style="25" customWidth="1"/>
    <col min="13061" max="13062" width="17.6640625" style="25" customWidth="1"/>
    <col min="13063" max="13312" width="9.109375" style="25"/>
    <col min="13313" max="13313" width="25" style="25" customWidth="1"/>
    <col min="13314" max="13315" width="25.44140625" style="25" customWidth="1"/>
    <col min="13316" max="13316" width="25.5546875" style="25" customWidth="1"/>
    <col min="13317" max="13318" width="17.6640625" style="25" customWidth="1"/>
    <col min="13319" max="13568" width="9.109375" style="25"/>
    <col min="13569" max="13569" width="25" style="25" customWidth="1"/>
    <col min="13570" max="13571" width="25.44140625" style="25" customWidth="1"/>
    <col min="13572" max="13572" width="25.5546875" style="25" customWidth="1"/>
    <col min="13573" max="13574" width="17.6640625" style="25" customWidth="1"/>
    <col min="13575" max="13824" width="9.109375" style="25"/>
    <col min="13825" max="13825" width="25" style="25" customWidth="1"/>
    <col min="13826" max="13827" width="25.44140625" style="25" customWidth="1"/>
    <col min="13828" max="13828" width="25.5546875" style="25" customWidth="1"/>
    <col min="13829" max="13830" width="17.6640625" style="25" customWidth="1"/>
    <col min="13831" max="14080" width="9.109375" style="25"/>
    <col min="14081" max="14081" width="25" style="25" customWidth="1"/>
    <col min="14082" max="14083" width="25.44140625" style="25" customWidth="1"/>
    <col min="14084" max="14084" width="25.5546875" style="25" customWidth="1"/>
    <col min="14085" max="14086" width="17.6640625" style="25" customWidth="1"/>
    <col min="14087" max="14336" width="9.109375" style="25"/>
    <col min="14337" max="14337" width="25" style="25" customWidth="1"/>
    <col min="14338" max="14339" width="25.44140625" style="25" customWidth="1"/>
    <col min="14340" max="14340" width="25.5546875" style="25" customWidth="1"/>
    <col min="14341" max="14342" width="17.6640625" style="25" customWidth="1"/>
    <col min="14343" max="14592" width="9.109375" style="25"/>
    <col min="14593" max="14593" width="25" style="25" customWidth="1"/>
    <col min="14594" max="14595" width="25.44140625" style="25" customWidth="1"/>
    <col min="14596" max="14596" width="25.5546875" style="25" customWidth="1"/>
    <col min="14597" max="14598" width="17.6640625" style="25" customWidth="1"/>
    <col min="14599" max="14848" width="9.109375" style="25"/>
    <col min="14849" max="14849" width="25" style="25" customWidth="1"/>
    <col min="14850" max="14851" width="25.44140625" style="25" customWidth="1"/>
    <col min="14852" max="14852" width="25.5546875" style="25" customWidth="1"/>
    <col min="14853" max="14854" width="17.6640625" style="25" customWidth="1"/>
    <col min="14855" max="15104" width="9.109375" style="25"/>
    <col min="15105" max="15105" width="25" style="25" customWidth="1"/>
    <col min="15106" max="15107" width="25.44140625" style="25" customWidth="1"/>
    <col min="15108" max="15108" width="25.5546875" style="25" customWidth="1"/>
    <col min="15109" max="15110" width="17.6640625" style="25" customWidth="1"/>
    <col min="15111" max="15360" width="9.109375" style="25"/>
    <col min="15361" max="15361" width="25" style="25" customWidth="1"/>
    <col min="15362" max="15363" width="25.44140625" style="25" customWidth="1"/>
    <col min="15364" max="15364" width="25.5546875" style="25" customWidth="1"/>
    <col min="15365" max="15366" width="17.6640625" style="25" customWidth="1"/>
    <col min="15367" max="15616" width="9.109375" style="25"/>
    <col min="15617" max="15617" width="25" style="25" customWidth="1"/>
    <col min="15618" max="15619" width="25.44140625" style="25" customWidth="1"/>
    <col min="15620" max="15620" width="25.5546875" style="25" customWidth="1"/>
    <col min="15621" max="15622" width="17.6640625" style="25" customWidth="1"/>
    <col min="15623" max="15872" width="9.109375" style="25"/>
    <col min="15873" max="15873" width="25" style="25" customWidth="1"/>
    <col min="15874" max="15875" width="25.44140625" style="25" customWidth="1"/>
    <col min="15876" max="15876" width="25.5546875" style="25" customWidth="1"/>
    <col min="15877" max="15878" width="17.6640625" style="25" customWidth="1"/>
    <col min="15879" max="16128" width="9.109375" style="25"/>
    <col min="16129" max="16129" width="25" style="25" customWidth="1"/>
    <col min="16130" max="16131" width="25.44140625" style="25" customWidth="1"/>
    <col min="16132" max="16132" width="25.5546875" style="25" customWidth="1"/>
    <col min="16133" max="16134" width="17.6640625" style="25" customWidth="1"/>
    <col min="16135" max="16384" width="9.109375" style="25"/>
  </cols>
  <sheetData>
    <row r="1" spans="1:12" ht="15" thickBot="1" x14ac:dyDescent="0.35"/>
    <row r="2" spans="1:12" ht="15" thickBot="1" x14ac:dyDescent="0.35">
      <c r="B2" s="386" t="s">
        <v>513</v>
      </c>
      <c r="C2" s="387"/>
      <c r="D2" s="387"/>
      <c r="E2" s="387"/>
      <c r="F2" s="388"/>
    </row>
    <row r="3" spans="1:12" ht="15" thickBot="1" x14ac:dyDescent="0.35">
      <c r="A3" s="389"/>
      <c r="B3" s="390"/>
      <c r="C3" s="390"/>
      <c r="D3" s="390"/>
      <c r="E3" s="390"/>
      <c r="F3" s="391"/>
      <c r="H3" s="150"/>
      <c r="I3" s="150"/>
      <c r="J3" s="150"/>
      <c r="K3" s="100"/>
    </row>
    <row r="4" spans="1:12" ht="15" thickBot="1" x14ac:dyDescent="0.35">
      <c r="A4" s="84" t="s">
        <v>273</v>
      </c>
      <c r="B4" s="85" t="s">
        <v>274</v>
      </c>
      <c r="C4" s="85" t="s">
        <v>275</v>
      </c>
      <c r="D4" s="86" t="s">
        <v>276</v>
      </c>
      <c r="E4" s="87" t="s">
        <v>277</v>
      </c>
      <c r="F4" s="88" t="s">
        <v>278</v>
      </c>
      <c r="H4" s="150"/>
      <c r="I4" s="151"/>
      <c r="J4" s="150"/>
      <c r="K4" s="100"/>
    </row>
    <row r="5" spans="1:12" ht="15" thickTop="1" x14ac:dyDescent="0.3">
      <c r="A5" s="89" t="s">
        <v>279</v>
      </c>
      <c r="B5" s="101">
        <v>19588</v>
      </c>
      <c r="C5" s="102" t="s">
        <v>280</v>
      </c>
      <c r="D5" s="103">
        <v>39318</v>
      </c>
      <c r="E5" s="104">
        <v>32249</v>
      </c>
      <c r="F5" s="105">
        <v>7069</v>
      </c>
      <c r="J5" s="106"/>
      <c r="L5" s="106"/>
    </row>
    <row r="6" spans="1:12" x14ac:dyDescent="0.3">
      <c r="A6" s="90" t="s">
        <v>224</v>
      </c>
      <c r="B6" s="107">
        <v>22752</v>
      </c>
      <c r="C6" s="108" t="s">
        <v>280</v>
      </c>
      <c r="D6" s="105">
        <v>48468</v>
      </c>
      <c r="E6" s="109">
        <v>35679</v>
      </c>
      <c r="F6" s="105">
        <v>12789</v>
      </c>
      <c r="J6" s="106"/>
      <c r="L6" s="106"/>
    </row>
    <row r="7" spans="1:12" x14ac:dyDescent="0.3">
      <c r="A7" s="90" t="s">
        <v>151</v>
      </c>
      <c r="B7" s="107">
        <v>17387</v>
      </c>
      <c r="C7" s="108" t="s">
        <v>280</v>
      </c>
      <c r="D7" s="105">
        <v>39265</v>
      </c>
      <c r="E7" s="27">
        <v>27202</v>
      </c>
      <c r="F7" s="105">
        <v>12063</v>
      </c>
      <c r="J7" s="106"/>
      <c r="L7" s="106"/>
    </row>
    <row r="8" spans="1:12" x14ac:dyDescent="0.3">
      <c r="A8" s="90" t="s">
        <v>229</v>
      </c>
      <c r="B8" s="107">
        <v>26163</v>
      </c>
      <c r="C8" s="108" t="s">
        <v>280</v>
      </c>
      <c r="D8" s="105">
        <v>25164</v>
      </c>
      <c r="E8" s="109">
        <v>23928</v>
      </c>
      <c r="F8" s="105">
        <v>1236</v>
      </c>
      <c r="J8" s="106"/>
      <c r="L8" s="106"/>
    </row>
    <row r="9" spans="1:12" x14ac:dyDescent="0.3">
      <c r="A9" s="90" t="s">
        <v>57</v>
      </c>
      <c r="B9" s="107">
        <v>19514</v>
      </c>
      <c r="C9" s="108" t="s">
        <v>280</v>
      </c>
      <c r="D9" s="105">
        <v>29130</v>
      </c>
      <c r="E9" s="109">
        <v>16794</v>
      </c>
      <c r="F9" s="105">
        <v>12336</v>
      </c>
      <c r="J9" s="106"/>
      <c r="L9" s="106"/>
    </row>
    <row r="10" spans="1:12" x14ac:dyDescent="0.3">
      <c r="A10" s="90" t="s">
        <v>225</v>
      </c>
      <c r="B10" s="107">
        <v>6107</v>
      </c>
      <c r="C10" s="108" t="s">
        <v>280</v>
      </c>
      <c r="D10" s="105">
        <v>15721</v>
      </c>
      <c r="E10" s="109">
        <v>15721</v>
      </c>
      <c r="F10" s="105">
        <v>0</v>
      </c>
      <c r="J10" s="106"/>
      <c r="L10" s="106"/>
    </row>
    <row r="11" spans="1:12" x14ac:dyDescent="0.3">
      <c r="A11" s="90" t="s">
        <v>281</v>
      </c>
      <c r="B11" s="107">
        <v>11064</v>
      </c>
      <c r="C11" s="108" t="s">
        <v>280</v>
      </c>
      <c r="D11" s="105">
        <v>29907</v>
      </c>
      <c r="E11" s="109">
        <v>29907</v>
      </c>
      <c r="F11" s="105">
        <v>0</v>
      </c>
      <c r="J11" s="106"/>
      <c r="L11" s="106"/>
    </row>
    <row r="12" spans="1:12" ht="15" thickBot="1" x14ac:dyDescent="0.35">
      <c r="A12" s="90" t="s">
        <v>227</v>
      </c>
      <c r="B12" s="107">
        <v>17672</v>
      </c>
      <c r="C12" s="108" t="s">
        <v>280</v>
      </c>
      <c r="D12" s="105">
        <v>29145</v>
      </c>
      <c r="E12" s="109">
        <v>24637</v>
      </c>
      <c r="F12" s="105">
        <v>4508</v>
      </c>
      <c r="J12" s="106"/>
      <c r="L12" s="106"/>
    </row>
    <row r="13" spans="1:12" ht="15" thickBot="1" x14ac:dyDescent="0.35">
      <c r="A13" s="91" t="s">
        <v>282</v>
      </c>
      <c r="B13" s="110">
        <v>2833</v>
      </c>
      <c r="C13" s="111" t="s">
        <v>280</v>
      </c>
      <c r="D13" s="112">
        <v>26056</v>
      </c>
      <c r="E13" s="113">
        <v>15388</v>
      </c>
      <c r="F13" s="112">
        <v>10668</v>
      </c>
      <c r="H13" s="92">
        <f>$E$14</f>
        <v>221505</v>
      </c>
      <c r="I13" s="25" t="s">
        <v>283</v>
      </c>
      <c r="L13" s="25" t="s">
        <v>284</v>
      </c>
    </row>
    <row r="14" spans="1:12" ht="15.6" thickTop="1" thickBot="1" x14ac:dyDescent="0.35">
      <c r="B14" s="93">
        <f>SUM(B5:B13)</f>
        <v>143080</v>
      </c>
      <c r="C14" s="94">
        <v>143080</v>
      </c>
      <c r="D14" s="95">
        <f>SUM(D5:D13)</f>
        <v>282174</v>
      </c>
      <c r="E14" s="96">
        <f>SUM(E5:E13)</f>
        <v>221505</v>
      </c>
      <c r="F14" s="97">
        <f>SUM(F5:F13)</f>
        <v>60669</v>
      </c>
      <c r="H14" s="98">
        <f>SUM(C14+F14)</f>
        <v>203749</v>
      </c>
      <c r="I14" s="25" t="s">
        <v>285</v>
      </c>
      <c r="L14" s="25" t="s">
        <v>286</v>
      </c>
    </row>
    <row r="15" spans="1:12" ht="15.6" x14ac:dyDescent="0.3">
      <c r="H15" s="155">
        <f>SUM(H13:H14)</f>
        <v>425254</v>
      </c>
    </row>
  </sheetData>
  <mergeCells count="2">
    <mergeCell ref="B2:F2"/>
    <mergeCell ref="A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8AF75-BEFF-4BFF-8F59-60FC03555AE7}">
  <sheetPr>
    <tabColor theme="9" tint="0.79998168889431442"/>
  </sheetPr>
  <dimension ref="A2:H27"/>
  <sheetViews>
    <sheetView workbookViewId="0">
      <selection activeCell="K29" sqref="K29"/>
    </sheetView>
  </sheetViews>
  <sheetFormatPr defaultColWidth="9.109375" defaultRowHeight="14.4" x14ac:dyDescent="0.3"/>
  <cols>
    <col min="1" max="1" width="31.5546875" style="25" customWidth="1"/>
    <col min="2" max="2" width="11.109375" style="25" bestFit="1" customWidth="1"/>
    <col min="3" max="5" width="9.109375" style="25"/>
    <col min="6" max="6" width="11.109375" style="25" bestFit="1" customWidth="1"/>
    <col min="7" max="16384" width="9.109375" style="25"/>
  </cols>
  <sheetData>
    <row r="2" spans="1:8" ht="15.6" x14ac:dyDescent="0.3">
      <c r="A2" s="392" t="s">
        <v>512</v>
      </c>
      <c r="B2" s="392"/>
      <c r="C2" s="392"/>
      <c r="D2" s="392"/>
      <c r="E2" s="392"/>
      <c r="F2" s="392"/>
      <c r="G2" s="392"/>
      <c r="H2" s="392"/>
    </row>
    <row r="3" spans="1:8" ht="16.2" thickBot="1" x14ac:dyDescent="0.35">
      <c r="A3" s="22"/>
      <c r="B3" s="38"/>
      <c r="C3" s="38"/>
      <c r="D3" s="38"/>
      <c r="E3" s="38"/>
    </row>
    <row r="4" spans="1:8" x14ac:dyDescent="0.3">
      <c r="A4" s="114" t="s">
        <v>121</v>
      </c>
      <c r="B4" s="152">
        <v>143080</v>
      </c>
      <c r="C4" s="115" t="s">
        <v>122</v>
      </c>
      <c r="D4" s="38"/>
      <c r="E4" s="116"/>
    </row>
    <row r="5" spans="1:8" x14ac:dyDescent="0.3">
      <c r="A5" s="117" t="s">
        <v>123</v>
      </c>
      <c r="B5" s="116">
        <v>282174</v>
      </c>
      <c r="C5" s="118" t="s">
        <v>122</v>
      </c>
      <c r="D5" s="38"/>
      <c r="E5" s="116"/>
      <c r="F5" s="119"/>
    </row>
    <row r="6" spans="1:8" ht="16.2" x14ac:dyDescent="0.3">
      <c r="A6" s="117" t="s">
        <v>124</v>
      </c>
      <c r="B6" s="116">
        <v>55482</v>
      </c>
      <c r="C6" s="118" t="s">
        <v>125</v>
      </c>
      <c r="D6" s="38"/>
      <c r="E6" s="38"/>
      <c r="F6" s="99"/>
    </row>
    <row r="7" spans="1:8" ht="16.2" x14ac:dyDescent="0.3">
      <c r="A7" s="117" t="s">
        <v>126</v>
      </c>
      <c r="B7" s="116">
        <v>47986</v>
      </c>
      <c r="C7" s="118" t="s">
        <v>125</v>
      </c>
      <c r="D7" s="38"/>
      <c r="E7" s="38"/>
    </row>
    <row r="8" spans="1:8" x14ac:dyDescent="0.3">
      <c r="A8" s="117" t="s">
        <v>127</v>
      </c>
      <c r="B8" s="116">
        <v>8108</v>
      </c>
      <c r="C8" s="118" t="s">
        <v>122</v>
      </c>
      <c r="D8" s="38"/>
      <c r="E8" s="38"/>
    </row>
    <row r="9" spans="1:8" ht="16.2" x14ac:dyDescent="0.3">
      <c r="A9" s="117" t="s">
        <v>128</v>
      </c>
      <c r="B9" s="116">
        <v>21768</v>
      </c>
      <c r="C9" s="118" t="s">
        <v>125</v>
      </c>
      <c r="D9" s="38"/>
      <c r="E9" s="116">
        <f>SUM(B6:B9)</f>
        <v>133344</v>
      </c>
    </row>
    <row r="10" spans="1:8" ht="15" thickBot="1" x14ac:dyDescent="0.35">
      <c r="A10" s="120" t="s">
        <v>129</v>
      </c>
      <c r="B10" s="153">
        <v>63</v>
      </c>
      <c r="C10" s="121" t="s">
        <v>130</v>
      </c>
      <c r="D10" s="38"/>
      <c r="E10" s="38"/>
    </row>
    <row r="11" spans="1:8" x14ac:dyDescent="0.3">
      <c r="A11" s="21" t="s">
        <v>334</v>
      </c>
      <c r="B11" s="38">
        <v>370</v>
      </c>
      <c r="C11" s="21" t="s">
        <v>336</v>
      </c>
      <c r="D11" s="38"/>
      <c r="E11" s="38"/>
    </row>
    <row r="12" spans="1:8" x14ac:dyDescent="0.3">
      <c r="A12" s="21" t="s">
        <v>337</v>
      </c>
      <c r="B12" s="38">
        <v>205</v>
      </c>
      <c r="C12" s="21" t="s">
        <v>130</v>
      </c>
      <c r="D12" s="38"/>
      <c r="E12" s="38"/>
    </row>
    <row r="13" spans="1:8" x14ac:dyDescent="0.3">
      <c r="A13" s="161" t="s">
        <v>335</v>
      </c>
      <c r="B13" s="162">
        <v>35</v>
      </c>
      <c r="C13" s="21" t="s">
        <v>336</v>
      </c>
    </row>
    <row r="14" spans="1:8" x14ac:dyDescent="0.3">
      <c r="A14" s="161"/>
    </row>
    <row r="15" spans="1:8" x14ac:dyDescent="0.3">
      <c r="A15" s="161"/>
    </row>
    <row r="27" spans="2:2" ht="17.399999999999999" x14ac:dyDescent="0.3">
      <c r="B27" s="20"/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65DFC-B6B9-4926-92A3-57E32D319621}">
  <sheetPr>
    <tabColor theme="9" tint="0.79998168889431442"/>
  </sheetPr>
  <dimension ref="A2:Y61"/>
  <sheetViews>
    <sheetView workbookViewId="0">
      <selection activeCell="T30" sqref="T30"/>
    </sheetView>
  </sheetViews>
  <sheetFormatPr defaultColWidth="9.109375" defaultRowHeight="14.4" x14ac:dyDescent="0.3"/>
  <cols>
    <col min="1" max="3" width="9.109375" style="25"/>
    <col min="4" max="4" width="19" style="25" customWidth="1"/>
    <col min="5" max="5" width="13.109375" style="25" customWidth="1"/>
    <col min="6" max="6" width="13.44140625" style="25" customWidth="1"/>
    <col min="7" max="16384" width="9.109375" style="25"/>
  </cols>
  <sheetData>
    <row r="2" spans="1:25" ht="15.6" x14ac:dyDescent="0.3">
      <c r="A2" s="395" t="s">
        <v>377</v>
      </c>
      <c r="B2" s="395"/>
      <c r="C2" s="395"/>
      <c r="D2" s="395"/>
      <c r="E2" s="395"/>
    </row>
    <row r="3" spans="1:25" ht="15.6" x14ac:dyDescent="0.3">
      <c r="A3" s="38"/>
      <c r="B3" s="38"/>
      <c r="C3" s="22"/>
      <c r="D3" s="22"/>
      <c r="E3" s="22"/>
    </row>
    <row r="4" spans="1:25" x14ac:dyDescent="0.3">
      <c r="A4" s="122" t="s">
        <v>131</v>
      </c>
      <c r="B4" s="396" t="s">
        <v>132</v>
      </c>
      <c r="C4" s="396"/>
      <c r="D4" s="396"/>
      <c r="E4" s="396"/>
      <c r="F4" s="123" t="s">
        <v>325</v>
      </c>
    </row>
    <row r="5" spans="1:25" x14ac:dyDescent="0.3">
      <c r="A5" s="177">
        <v>1</v>
      </c>
      <c r="B5" s="397" t="s">
        <v>133</v>
      </c>
      <c r="C5" s="397"/>
      <c r="D5" s="178" t="s">
        <v>134</v>
      </c>
      <c r="E5" s="179" t="s">
        <v>135</v>
      </c>
      <c r="F5" s="141">
        <v>480</v>
      </c>
    </row>
    <row r="6" spans="1:25" x14ac:dyDescent="0.3">
      <c r="A6" s="23">
        <v>2</v>
      </c>
      <c r="B6" s="394" t="s">
        <v>57</v>
      </c>
      <c r="C6" s="394"/>
      <c r="D6" s="168" t="s">
        <v>342</v>
      </c>
      <c r="E6" s="169" t="s">
        <v>351</v>
      </c>
      <c r="F6" s="141">
        <v>130</v>
      </c>
    </row>
    <row r="7" spans="1:25" x14ac:dyDescent="0.3">
      <c r="A7" s="177">
        <v>3</v>
      </c>
      <c r="B7" s="398" t="s">
        <v>137</v>
      </c>
      <c r="C7" s="398"/>
      <c r="D7" s="180" t="s">
        <v>136</v>
      </c>
      <c r="E7" s="181" t="s">
        <v>138</v>
      </c>
      <c r="F7" s="141" t="s">
        <v>326</v>
      </c>
    </row>
    <row r="8" spans="1:25" x14ac:dyDescent="0.3">
      <c r="A8" s="23">
        <v>4</v>
      </c>
      <c r="B8" s="394" t="s">
        <v>139</v>
      </c>
      <c r="C8" s="394"/>
      <c r="D8" s="168" t="s">
        <v>140</v>
      </c>
      <c r="E8" s="169" t="s">
        <v>141</v>
      </c>
      <c r="F8" s="141">
        <v>130</v>
      </c>
    </row>
    <row r="9" spans="1:25" x14ac:dyDescent="0.3">
      <c r="A9" s="177">
        <v>5</v>
      </c>
      <c r="B9" s="398" t="s">
        <v>142</v>
      </c>
      <c r="C9" s="398"/>
      <c r="D9" s="180" t="s">
        <v>143</v>
      </c>
      <c r="E9" s="181" t="s">
        <v>144</v>
      </c>
      <c r="F9" s="141">
        <v>339</v>
      </c>
    </row>
    <row r="10" spans="1:25" x14ac:dyDescent="0.3">
      <c r="A10" s="23">
        <v>6</v>
      </c>
      <c r="B10" s="394" t="s">
        <v>145</v>
      </c>
      <c r="C10" s="394"/>
      <c r="D10" s="168" t="s">
        <v>146</v>
      </c>
      <c r="E10" s="169" t="s">
        <v>147</v>
      </c>
      <c r="F10" s="141">
        <v>180</v>
      </c>
    </row>
    <row r="11" spans="1:25" x14ac:dyDescent="0.3">
      <c r="A11" s="177">
        <v>7</v>
      </c>
      <c r="B11" s="398" t="s">
        <v>148</v>
      </c>
      <c r="C11" s="398"/>
      <c r="D11" s="180" t="s">
        <v>149</v>
      </c>
      <c r="E11" s="181" t="s">
        <v>150</v>
      </c>
      <c r="F11" s="141">
        <v>155</v>
      </c>
    </row>
    <row r="12" spans="1:25" x14ac:dyDescent="0.3">
      <c r="A12" s="177">
        <v>8</v>
      </c>
      <c r="B12" s="398" t="s">
        <v>151</v>
      </c>
      <c r="C12" s="398"/>
      <c r="D12" s="180" t="s">
        <v>352</v>
      </c>
      <c r="E12" s="181" t="s">
        <v>353</v>
      </c>
      <c r="F12" s="141">
        <v>160</v>
      </c>
    </row>
    <row r="13" spans="1:25" x14ac:dyDescent="0.3">
      <c r="A13" s="24">
        <v>9</v>
      </c>
      <c r="B13" s="399" t="s">
        <v>282</v>
      </c>
      <c r="C13" s="399"/>
      <c r="D13" s="170" t="s">
        <v>343</v>
      </c>
      <c r="E13" s="171" t="s">
        <v>344</v>
      </c>
      <c r="F13" s="141">
        <v>240</v>
      </c>
    </row>
    <row r="14" spans="1:25" x14ac:dyDescent="0.3">
      <c r="A14" s="177">
        <v>10</v>
      </c>
      <c r="B14" s="393" t="s">
        <v>227</v>
      </c>
      <c r="C14" s="393"/>
      <c r="D14" s="180" t="s">
        <v>354</v>
      </c>
      <c r="E14" s="180" t="s">
        <v>355</v>
      </c>
      <c r="F14" s="141">
        <v>230</v>
      </c>
    </row>
    <row r="16" spans="1:25" ht="15" thickBot="1" x14ac:dyDescent="0.35">
      <c r="A16" s="125" t="s">
        <v>287</v>
      </c>
      <c r="W16" s="16"/>
      <c r="X16" s="16"/>
      <c r="Y16" s="16"/>
    </row>
    <row r="17" spans="1:25" x14ac:dyDescent="0.3">
      <c r="A17" s="142" t="s">
        <v>288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4"/>
      <c r="W17" s="126"/>
      <c r="X17" s="16"/>
      <c r="Y17" s="16"/>
    </row>
    <row r="18" spans="1:25" ht="15" thickBot="1" x14ac:dyDescent="0.35">
      <c r="A18" s="145" t="s">
        <v>289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7"/>
      <c r="W18" s="127"/>
      <c r="X18" s="16"/>
      <c r="Y18" s="16"/>
    </row>
    <row r="19" spans="1:25" x14ac:dyDescent="0.3">
      <c r="A19" s="125" t="s">
        <v>290</v>
      </c>
      <c r="W19" s="16"/>
      <c r="X19" s="16"/>
      <c r="Y19" s="16"/>
    </row>
    <row r="20" spans="1:25" x14ac:dyDescent="0.3">
      <c r="A20" s="125" t="s">
        <v>291</v>
      </c>
      <c r="W20" s="16"/>
      <c r="X20" s="16"/>
      <c r="Y20" s="16"/>
    </row>
    <row r="21" spans="1:25" x14ac:dyDescent="0.3">
      <c r="A21" s="125" t="s">
        <v>292</v>
      </c>
      <c r="W21" s="16"/>
      <c r="X21" s="16"/>
      <c r="Y21" s="16"/>
    </row>
    <row r="22" spans="1:25" x14ac:dyDescent="0.3">
      <c r="A22" s="125" t="s">
        <v>293</v>
      </c>
      <c r="W22" s="16"/>
      <c r="X22" s="16"/>
      <c r="Y22" s="16"/>
    </row>
    <row r="23" spans="1:25" ht="15.75" customHeight="1" x14ac:dyDescent="0.3">
      <c r="A23" s="125" t="s">
        <v>294</v>
      </c>
      <c r="W23" s="16"/>
      <c r="X23" s="16"/>
      <c r="Y23" s="16"/>
    </row>
    <row r="24" spans="1:25" x14ac:dyDescent="0.3">
      <c r="A24" s="148" t="s">
        <v>295</v>
      </c>
      <c r="B24" s="149"/>
      <c r="C24" s="149" t="s">
        <v>296</v>
      </c>
      <c r="D24" s="149" t="s">
        <v>297</v>
      </c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6"/>
      <c r="W24" s="16"/>
      <c r="X24" s="16"/>
      <c r="Y24" s="16"/>
    </row>
    <row r="25" spans="1:25" x14ac:dyDescent="0.3">
      <c r="A25" s="148" t="s">
        <v>298</v>
      </c>
      <c r="B25" s="149"/>
      <c r="C25" s="149" t="s">
        <v>299</v>
      </c>
      <c r="D25" s="149" t="s">
        <v>300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6"/>
      <c r="W25" s="16"/>
      <c r="X25" s="16"/>
      <c r="Y25" s="16"/>
    </row>
    <row r="26" spans="1:25" x14ac:dyDescent="0.3">
      <c r="A26" s="175" t="s">
        <v>227</v>
      </c>
      <c r="B26" s="176"/>
      <c r="C26" s="176" t="s">
        <v>356</v>
      </c>
      <c r="D26" s="176" t="s">
        <v>357</v>
      </c>
      <c r="E26" s="176"/>
      <c r="F26" s="176"/>
      <c r="G26" s="176"/>
      <c r="H26" s="176"/>
      <c r="I26" s="176"/>
      <c r="J26" s="176"/>
      <c r="K26" s="176"/>
      <c r="L26" s="149"/>
      <c r="M26" s="149"/>
      <c r="N26" s="149"/>
      <c r="O26" s="149"/>
      <c r="P26" s="16"/>
      <c r="W26" s="16"/>
      <c r="X26" s="16"/>
      <c r="Y26" s="16"/>
    </row>
    <row r="27" spans="1:25" x14ac:dyDescent="0.3">
      <c r="A27" s="128" t="s">
        <v>301</v>
      </c>
      <c r="B27" s="124"/>
      <c r="C27" s="124"/>
      <c r="D27" s="124"/>
      <c r="E27" s="124"/>
      <c r="F27" s="124"/>
      <c r="X27" s="16"/>
      <c r="Y27" s="16"/>
    </row>
    <row r="28" spans="1:25" x14ac:dyDescent="0.3">
      <c r="A28" s="128"/>
      <c r="B28" s="124"/>
      <c r="C28" s="124"/>
      <c r="D28" s="124"/>
      <c r="E28" s="124"/>
      <c r="F28" s="124"/>
      <c r="W28" s="16"/>
      <c r="X28" s="16"/>
      <c r="Y28" s="16"/>
    </row>
    <row r="45" spans="2:3" x14ac:dyDescent="0.3">
      <c r="B45" s="25" t="s">
        <v>302</v>
      </c>
      <c r="C45" s="25" t="s">
        <v>297</v>
      </c>
    </row>
    <row r="61" spans="2:3" x14ac:dyDescent="0.3">
      <c r="B61" s="25" t="s">
        <v>303</v>
      </c>
      <c r="C61" s="25" t="s">
        <v>300</v>
      </c>
    </row>
  </sheetData>
  <mergeCells count="12">
    <mergeCell ref="B14:C14"/>
    <mergeCell ref="B8:C8"/>
    <mergeCell ref="A2:E2"/>
    <mergeCell ref="B4:E4"/>
    <mergeCell ref="B5:C5"/>
    <mergeCell ref="B6:C6"/>
    <mergeCell ref="B7:C7"/>
    <mergeCell ref="B9:C9"/>
    <mergeCell ref="B10:C10"/>
    <mergeCell ref="B11:C11"/>
    <mergeCell ref="B12:C12"/>
    <mergeCell ref="B13:C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05CEE-2C6F-4098-A2CF-EA563AB3EE1C}">
  <sheetPr>
    <tabColor theme="9" tint="0.79998168889431442"/>
  </sheetPr>
  <dimension ref="A2:F33"/>
  <sheetViews>
    <sheetView topLeftCell="A9" workbookViewId="0">
      <selection activeCell="I39" sqref="I39"/>
    </sheetView>
  </sheetViews>
  <sheetFormatPr defaultColWidth="9.109375" defaultRowHeight="14.4" x14ac:dyDescent="0.3"/>
  <cols>
    <col min="1" max="1" width="59" style="25" customWidth="1"/>
    <col min="2" max="2" width="21.5546875" style="25" customWidth="1"/>
    <col min="3" max="3" width="19.6640625" style="25" bestFit="1" customWidth="1"/>
    <col min="4" max="4" width="9.109375" style="25" bestFit="1"/>
    <col min="5" max="16384" width="9.109375" style="25"/>
  </cols>
  <sheetData>
    <row r="2" spans="1:6" ht="15.6" x14ac:dyDescent="0.3">
      <c r="A2" s="385" t="s">
        <v>376</v>
      </c>
      <c r="B2" s="385"/>
      <c r="C2" s="385"/>
      <c r="D2" s="385"/>
    </row>
    <row r="4" spans="1:6" x14ac:dyDescent="0.3">
      <c r="A4" s="26" t="s">
        <v>152</v>
      </c>
      <c r="B4" s="26" t="s">
        <v>153</v>
      </c>
      <c r="C4" s="27" t="s">
        <v>154</v>
      </c>
      <c r="D4" s="31" t="s">
        <v>155</v>
      </c>
    </row>
    <row r="5" spans="1:6" x14ac:dyDescent="0.3">
      <c r="A5" s="26" t="s">
        <v>156</v>
      </c>
      <c r="B5" s="130">
        <v>3269.6</v>
      </c>
      <c r="C5" s="30">
        <v>2000</v>
      </c>
      <c r="D5" s="32">
        <v>2</v>
      </c>
      <c r="F5" s="59" t="s">
        <v>2</v>
      </c>
    </row>
    <row r="6" spans="1:6" x14ac:dyDescent="0.3">
      <c r="A6" s="26" t="s">
        <v>157</v>
      </c>
      <c r="B6" s="130">
        <v>2200</v>
      </c>
      <c r="C6" s="30">
        <v>2000</v>
      </c>
      <c r="D6" s="32">
        <v>2</v>
      </c>
      <c r="F6" s="59" t="s">
        <v>9</v>
      </c>
    </row>
    <row r="7" spans="1:6" x14ac:dyDescent="0.3">
      <c r="A7" s="26" t="s">
        <v>158</v>
      </c>
      <c r="B7" s="130">
        <v>794.22</v>
      </c>
      <c r="C7" s="28">
        <v>500</v>
      </c>
      <c r="D7" s="34">
        <v>1</v>
      </c>
      <c r="F7" s="59" t="s">
        <v>3</v>
      </c>
    </row>
    <row r="8" spans="1:6" x14ac:dyDescent="0.3">
      <c r="A8" s="26" t="s">
        <v>159</v>
      </c>
      <c r="B8" s="130">
        <v>4505.22</v>
      </c>
      <c r="C8" s="30">
        <v>2000</v>
      </c>
      <c r="D8" s="32">
        <v>2</v>
      </c>
      <c r="F8" s="59" t="s">
        <v>4</v>
      </c>
    </row>
    <row r="9" spans="1:6" x14ac:dyDescent="0.3">
      <c r="A9" s="26" t="s">
        <v>304</v>
      </c>
      <c r="B9" s="130">
        <v>4157.3500000000004</v>
      </c>
      <c r="C9" s="30">
        <v>2000</v>
      </c>
      <c r="D9" s="32">
        <v>2</v>
      </c>
      <c r="F9" s="59" t="s">
        <v>22</v>
      </c>
    </row>
    <row r="10" spans="1:6" x14ac:dyDescent="0.3">
      <c r="A10" s="26" t="s">
        <v>304</v>
      </c>
      <c r="B10" s="130">
        <v>4157.3500000000004</v>
      </c>
      <c r="C10" s="30">
        <v>2000</v>
      </c>
      <c r="D10" s="32">
        <v>2</v>
      </c>
      <c r="F10" s="59" t="s">
        <v>23</v>
      </c>
    </row>
    <row r="11" spans="1:6" x14ac:dyDescent="0.3">
      <c r="A11" s="26" t="s">
        <v>305</v>
      </c>
      <c r="B11" s="130">
        <v>2887.05</v>
      </c>
      <c r="C11" s="30">
        <v>2000</v>
      </c>
      <c r="D11" s="32">
        <v>2</v>
      </c>
      <c r="E11" s="25" t="s">
        <v>306</v>
      </c>
      <c r="F11" s="59" t="s">
        <v>27</v>
      </c>
    </row>
    <row r="12" spans="1:6" x14ac:dyDescent="0.3">
      <c r="A12" s="26" t="s">
        <v>307</v>
      </c>
      <c r="B12" s="130">
        <v>3993.25</v>
      </c>
      <c r="C12" s="30">
        <v>2000</v>
      </c>
      <c r="D12" s="32">
        <v>2</v>
      </c>
      <c r="F12" s="59" t="s">
        <v>38</v>
      </c>
    </row>
    <row r="13" spans="1:6" x14ac:dyDescent="0.3">
      <c r="A13" s="26" t="s">
        <v>308</v>
      </c>
      <c r="B13" s="130">
        <v>3993.25</v>
      </c>
      <c r="C13" s="30">
        <v>2000</v>
      </c>
      <c r="D13" s="32">
        <v>2</v>
      </c>
      <c r="F13" s="59" t="s">
        <v>263</v>
      </c>
    </row>
    <row r="14" spans="1:6" x14ac:dyDescent="0.3">
      <c r="A14" s="26" t="s">
        <v>161</v>
      </c>
      <c r="B14" s="130">
        <v>3269.6</v>
      </c>
      <c r="C14" s="30">
        <v>2000</v>
      </c>
      <c r="D14" s="32">
        <v>2</v>
      </c>
      <c r="F14" s="59" t="s">
        <v>309</v>
      </c>
    </row>
    <row r="15" spans="1:6" x14ac:dyDescent="0.3">
      <c r="A15" s="27" t="s">
        <v>162</v>
      </c>
      <c r="B15" s="130">
        <v>3996.11</v>
      </c>
      <c r="C15" s="30">
        <v>2000</v>
      </c>
      <c r="D15" s="32">
        <v>2</v>
      </c>
      <c r="F15" s="59" t="s">
        <v>310</v>
      </c>
    </row>
    <row r="16" spans="1:6" x14ac:dyDescent="0.3">
      <c r="A16" s="27" t="s">
        <v>162</v>
      </c>
      <c r="B16" s="130">
        <v>3996.11</v>
      </c>
      <c r="C16" s="30">
        <v>2000</v>
      </c>
      <c r="D16" s="32">
        <v>2</v>
      </c>
      <c r="F16" s="59" t="s">
        <v>311</v>
      </c>
    </row>
    <row r="17" spans="1:6" x14ac:dyDescent="0.3">
      <c r="A17" s="27" t="s">
        <v>163</v>
      </c>
      <c r="B17" s="130">
        <v>12240</v>
      </c>
      <c r="C17" s="29">
        <v>5000</v>
      </c>
      <c r="D17" s="33">
        <v>3</v>
      </c>
      <c r="F17" s="59" t="s">
        <v>312</v>
      </c>
    </row>
    <row r="18" spans="1:6" x14ac:dyDescent="0.3">
      <c r="A18" s="27" t="s">
        <v>164</v>
      </c>
      <c r="B18" s="130">
        <v>3564</v>
      </c>
      <c r="C18" s="30">
        <v>2000</v>
      </c>
      <c r="D18" s="32">
        <v>2</v>
      </c>
      <c r="F18" s="59" t="s">
        <v>313</v>
      </c>
    </row>
    <row r="19" spans="1:6" x14ac:dyDescent="0.3">
      <c r="A19" s="27" t="s">
        <v>165</v>
      </c>
      <c r="B19" s="130">
        <v>3564</v>
      </c>
      <c r="C19" s="30">
        <v>2000</v>
      </c>
      <c r="D19" s="32">
        <v>2</v>
      </c>
      <c r="F19" s="59" t="s">
        <v>314</v>
      </c>
    </row>
    <row r="20" spans="1:6" x14ac:dyDescent="0.3">
      <c r="A20" s="27" t="s">
        <v>166</v>
      </c>
      <c r="B20" s="130">
        <v>3564</v>
      </c>
      <c r="C20" s="30">
        <v>2000</v>
      </c>
      <c r="D20" s="32">
        <v>2</v>
      </c>
      <c r="F20" s="59" t="s">
        <v>315</v>
      </c>
    </row>
    <row r="21" spans="1:6" x14ac:dyDescent="0.3">
      <c r="A21" s="27" t="s">
        <v>167</v>
      </c>
      <c r="B21" s="130">
        <v>3564</v>
      </c>
      <c r="C21" s="30">
        <v>2000</v>
      </c>
      <c r="D21" s="32">
        <v>2</v>
      </c>
      <c r="F21" s="59" t="s">
        <v>316</v>
      </c>
    </row>
    <row r="22" spans="1:6" x14ac:dyDescent="0.3">
      <c r="A22" s="27" t="s">
        <v>160</v>
      </c>
      <c r="B22" s="130">
        <v>3269.6</v>
      </c>
      <c r="C22" s="30">
        <v>2000</v>
      </c>
      <c r="D22" s="32">
        <v>2</v>
      </c>
      <c r="F22" s="59" t="s">
        <v>317</v>
      </c>
    </row>
    <row r="23" spans="1:6" x14ac:dyDescent="0.3">
      <c r="A23" s="27" t="s">
        <v>161</v>
      </c>
      <c r="B23" s="130">
        <v>3269.6</v>
      </c>
      <c r="C23" s="30">
        <v>2000</v>
      </c>
      <c r="D23" s="32">
        <v>2</v>
      </c>
      <c r="F23" s="59" t="s">
        <v>318</v>
      </c>
    </row>
    <row r="24" spans="1:6" x14ac:dyDescent="0.3">
      <c r="B24" s="18">
        <f>SUM(B5:B23)</f>
        <v>74254.310000000012</v>
      </c>
      <c r="C24" s="25">
        <f>SUM(C5:C23)</f>
        <v>39500</v>
      </c>
    </row>
    <row r="25" spans="1:6" x14ac:dyDescent="0.3">
      <c r="A25" s="25" t="s">
        <v>168</v>
      </c>
      <c r="B25" s="18"/>
    </row>
    <row r="26" spans="1:6" x14ac:dyDescent="0.3">
      <c r="B26" s="18"/>
    </row>
    <row r="27" spans="1:6" x14ac:dyDescent="0.3">
      <c r="B27" s="158" t="s">
        <v>333</v>
      </c>
      <c r="C27" s="159" t="s">
        <v>332</v>
      </c>
      <c r="D27" s="159" t="s">
        <v>331</v>
      </c>
    </row>
    <row r="28" spans="1:6" x14ac:dyDescent="0.3">
      <c r="A28" s="35" t="s">
        <v>169</v>
      </c>
      <c r="B28" s="75">
        <f>SUM(B7)</f>
        <v>794.22</v>
      </c>
      <c r="C28" s="99">
        <v>500</v>
      </c>
      <c r="D28" s="157" t="s">
        <v>319</v>
      </c>
    </row>
    <row r="29" spans="1:6" x14ac:dyDescent="0.3">
      <c r="A29" s="37" t="s">
        <v>170</v>
      </c>
      <c r="B29" s="76">
        <f>SUM(B5+B6+B8+B9+B10+B11+B12+B13+B14+B15+B16+B18+B19+B20+B21+B22+B23)</f>
        <v>61220.09</v>
      </c>
      <c r="C29" s="99">
        <f>SUM(17*2000)</f>
        <v>34000</v>
      </c>
      <c r="D29" s="157" t="s">
        <v>329</v>
      </c>
    </row>
    <row r="30" spans="1:6" x14ac:dyDescent="0.3">
      <c r="A30" s="36" t="s">
        <v>171</v>
      </c>
      <c r="B30" s="77">
        <f>SUM(B17)</f>
        <v>12240</v>
      </c>
      <c r="C30" s="99">
        <v>5000</v>
      </c>
      <c r="D30" s="157" t="s">
        <v>319</v>
      </c>
    </row>
    <row r="31" spans="1:6" x14ac:dyDescent="0.3">
      <c r="A31" s="25" t="s">
        <v>71</v>
      </c>
      <c r="B31" s="156">
        <f>SUM(B28:B30)</f>
        <v>74254.31</v>
      </c>
      <c r="C31" s="154">
        <f>SUM(C28:C30)</f>
        <v>39500</v>
      </c>
      <c r="D31" s="157" t="s">
        <v>330</v>
      </c>
    </row>
    <row r="32" spans="1:6" x14ac:dyDescent="0.3">
      <c r="B32" s="18"/>
    </row>
    <row r="33" spans="1:1" x14ac:dyDescent="0.3">
      <c r="A33" s="131" t="s">
        <v>328</v>
      </c>
    </row>
  </sheetData>
  <mergeCells count="1"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EAF12-5EB8-46C9-A24B-5A4B4AC11EC9}">
  <sheetPr>
    <tabColor theme="9" tint="0.79998168889431442"/>
  </sheetPr>
  <dimension ref="A1:K28"/>
  <sheetViews>
    <sheetView workbookViewId="0">
      <selection activeCell="O21" sqref="O21"/>
    </sheetView>
  </sheetViews>
  <sheetFormatPr defaultColWidth="9.109375" defaultRowHeight="14.4" x14ac:dyDescent="0.3"/>
  <cols>
    <col min="1" max="1" width="9.109375" style="25"/>
    <col min="2" max="2" width="6" style="25" customWidth="1"/>
    <col min="3" max="3" width="44.33203125" style="25" customWidth="1"/>
    <col min="4" max="4" width="13.33203125" style="25" customWidth="1"/>
    <col min="5" max="5" width="17.44140625" style="25" customWidth="1"/>
    <col min="6" max="6" width="31.33203125" style="25" customWidth="1"/>
    <col min="7" max="7" width="18.44140625" style="25" customWidth="1"/>
    <col min="8" max="8" width="29" style="25" customWidth="1"/>
    <col min="9" max="10" width="9.109375" style="25"/>
    <col min="11" max="11" width="11.5546875" style="25" bestFit="1" customWidth="1"/>
    <col min="12" max="16384" width="9.109375" style="25"/>
  </cols>
  <sheetData>
    <row r="1" spans="1:11" ht="15.6" x14ac:dyDescent="0.3">
      <c r="A1" s="38"/>
      <c r="B1" s="395" t="s">
        <v>511</v>
      </c>
      <c r="C1" s="395"/>
      <c r="D1" s="395"/>
      <c r="E1" s="395"/>
      <c r="F1" s="395"/>
      <c r="G1" s="395"/>
      <c r="H1" s="395"/>
      <c r="I1" s="395"/>
    </row>
    <row r="2" spans="1:11" ht="17.399999999999999" x14ac:dyDescent="0.3">
      <c r="A2" s="38"/>
      <c r="B2" s="39"/>
      <c r="C2" s="39"/>
      <c r="D2" s="39"/>
      <c r="E2" s="39"/>
      <c r="F2" s="39"/>
      <c r="G2" s="39"/>
      <c r="H2" s="39"/>
      <c r="I2" s="39"/>
    </row>
    <row r="3" spans="1:11" ht="15" thickBot="1" x14ac:dyDescent="0.35">
      <c r="A3" s="38"/>
      <c r="B3" s="38"/>
      <c r="C3" s="38"/>
      <c r="D3" s="38"/>
      <c r="E3" s="38"/>
      <c r="F3" s="38"/>
      <c r="G3" s="38"/>
      <c r="H3" s="38"/>
      <c r="I3" s="38"/>
    </row>
    <row r="4" spans="1:11" ht="15" thickBot="1" x14ac:dyDescent="0.35">
      <c r="A4" s="38"/>
      <c r="B4" s="45" t="s">
        <v>172</v>
      </c>
      <c r="C4" s="57" t="s">
        <v>173</v>
      </c>
      <c r="D4" s="57" t="s">
        <v>174</v>
      </c>
      <c r="E4" s="57" t="s">
        <v>175</v>
      </c>
      <c r="F4" s="57" t="s">
        <v>176</v>
      </c>
      <c r="G4" s="57" t="s">
        <v>177</v>
      </c>
      <c r="H4" s="58" t="s">
        <v>178</v>
      </c>
      <c r="I4" s="58" t="s">
        <v>179</v>
      </c>
    </row>
    <row r="5" spans="1:11" ht="15" thickBot="1" x14ac:dyDescent="0.35">
      <c r="A5" s="132"/>
      <c r="B5" s="133" t="s">
        <v>2</v>
      </c>
      <c r="C5" s="51" t="s">
        <v>180</v>
      </c>
      <c r="D5" s="51">
        <v>2010</v>
      </c>
      <c r="E5" s="52" t="s">
        <v>181</v>
      </c>
      <c r="F5" s="52">
        <v>3057</v>
      </c>
      <c r="G5" s="52" t="s">
        <v>182</v>
      </c>
      <c r="H5" s="48">
        <v>7000</v>
      </c>
      <c r="I5" s="53"/>
    </row>
    <row r="6" spans="1:11" ht="15" thickBot="1" x14ac:dyDescent="0.35">
      <c r="A6" s="132"/>
      <c r="B6" s="134" t="s">
        <v>9</v>
      </c>
      <c r="C6" s="40" t="s">
        <v>183</v>
      </c>
      <c r="D6" s="40"/>
      <c r="E6" s="44" t="s">
        <v>184</v>
      </c>
      <c r="F6" s="44" t="s">
        <v>185</v>
      </c>
      <c r="G6" s="44" t="s">
        <v>186</v>
      </c>
      <c r="H6" s="48">
        <v>7000</v>
      </c>
      <c r="I6" s="54"/>
    </row>
    <row r="7" spans="1:11" ht="15" thickBot="1" x14ac:dyDescent="0.35">
      <c r="A7" s="132"/>
      <c r="B7" s="134" t="s">
        <v>3</v>
      </c>
      <c r="C7" s="40" t="s">
        <v>187</v>
      </c>
      <c r="D7" s="40">
        <v>2015</v>
      </c>
      <c r="E7" s="44" t="s">
        <v>188</v>
      </c>
      <c r="F7" s="44" t="s">
        <v>189</v>
      </c>
      <c r="G7" s="44"/>
      <c r="H7" s="48">
        <v>7000</v>
      </c>
      <c r="I7" s="54"/>
    </row>
    <row r="8" spans="1:11" ht="15" thickBot="1" x14ac:dyDescent="0.35">
      <c r="A8" s="132"/>
      <c r="B8" s="134" t="s">
        <v>4</v>
      </c>
      <c r="C8" s="40" t="s">
        <v>190</v>
      </c>
      <c r="D8" s="40"/>
      <c r="E8" s="44" t="s">
        <v>188</v>
      </c>
      <c r="F8" s="44" t="s">
        <v>189</v>
      </c>
      <c r="G8" s="44"/>
      <c r="H8" s="48">
        <v>7000</v>
      </c>
      <c r="I8" s="54"/>
    </row>
    <row r="9" spans="1:11" x14ac:dyDescent="0.3">
      <c r="A9" s="132"/>
      <c r="B9" s="134" t="s">
        <v>22</v>
      </c>
      <c r="C9" s="40" t="s">
        <v>191</v>
      </c>
      <c r="D9" s="40">
        <v>2011</v>
      </c>
      <c r="E9" s="44"/>
      <c r="F9" s="44"/>
      <c r="G9" s="44" t="s">
        <v>192</v>
      </c>
      <c r="H9" s="48">
        <v>7000</v>
      </c>
      <c r="I9" s="54"/>
    </row>
    <row r="10" spans="1:11" ht="15" thickBot="1" x14ac:dyDescent="0.35">
      <c r="A10" s="132"/>
      <c r="B10" s="135" t="s">
        <v>23</v>
      </c>
      <c r="C10" s="136" t="s">
        <v>193</v>
      </c>
      <c r="D10" s="136">
        <v>2013</v>
      </c>
      <c r="E10" s="137" t="s">
        <v>194</v>
      </c>
      <c r="F10" s="137" t="s">
        <v>195</v>
      </c>
      <c r="G10" s="137"/>
      <c r="H10" s="42">
        <v>6800</v>
      </c>
      <c r="I10" s="55" t="s">
        <v>196</v>
      </c>
      <c r="K10" s="138">
        <f>SUM(H5:H10)</f>
        <v>41800</v>
      </c>
    </row>
    <row r="11" spans="1:11" ht="15" thickBot="1" x14ac:dyDescent="0.35">
      <c r="A11" s="38"/>
      <c r="B11" s="38"/>
      <c r="C11" s="38"/>
      <c r="D11" s="38"/>
      <c r="E11" s="43"/>
      <c r="F11" s="43"/>
      <c r="G11" s="43"/>
      <c r="H11" s="38"/>
      <c r="I11" s="38"/>
    </row>
    <row r="12" spans="1:11" ht="15" thickBot="1" x14ac:dyDescent="0.35">
      <c r="A12" s="38"/>
      <c r="B12" s="45" t="s">
        <v>172</v>
      </c>
      <c r="C12" s="46" t="s">
        <v>197</v>
      </c>
      <c r="D12" s="49"/>
      <c r="E12" s="50" t="s">
        <v>175</v>
      </c>
      <c r="F12" s="46" t="s">
        <v>176</v>
      </c>
      <c r="G12" s="46" t="s">
        <v>177</v>
      </c>
      <c r="H12" s="58" t="s">
        <v>178</v>
      </c>
      <c r="I12" s="47" t="s">
        <v>179</v>
      </c>
    </row>
    <row r="13" spans="1:11" x14ac:dyDescent="0.3">
      <c r="A13" s="38"/>
      <c r="B13" s="133" t="s">
        <v>2</v>
      </c>
      <c r="C13" s="51" t="s">
        <v>198</v>
      </c>
      <c r="D13" s="51">
        <v>2013</v>
      </c>
      <c r="E13" s="52" t="s">
        <v>199</v>
      </c>
      <c r="F13" s="52" t="s">
        <v>200</v>
      </c>
      <c r="G13" s="52" t="s">
        <v>201</v>
      </c>
      <c r="H13" s="48">
        <v>9906.4</v>
      </c>
      <c r="I13" s="53"/>
    </row>
    <row r="14" spans="1:11" x14ac:dyDescent="0.3">
      <c r="A14" s="38"/>
      <c r="B14" s="134" t="s">
        <v>9</v>
      </c>
      <c r="C14" s="40" t="s">
        <v>202</v>
      </c>
      <c r="D14" s="40">
        <v>2011</v>
      </c>
      <c r="E14" s="44" t="s">
        <v>199</v>
      </c>
      <c r="F14" s="44" t="s">
        <v>203</v>
      </c>
      <c r="G14" s="44" t="s">
        <v>204</v>
      </c>
      <c r="H14" s="41">
        <v>7000</v>
      </c>
      <c r="I14" s="54"/>
    </row>
    <row r="15" spans="1:11" x14ac:dyDescent="0.3">
      <c r="A15" s="38"/>
      <c r="B15" s="134" t="s">
        <v>3</v>
      </c>
      <c r="C15" s="40" t="s">
        <v>205</v>
      </c>
      <c r="D15" s="40">
        <v>2011</v>
      </c>
      <c r="E15" s="44" t="s">
        <v>199</v>
      </c>
      <c r="F15" s="44" t="s">
        <v>206</v>
      </c>
      <c r="G15" s="44" t="s">
        <v>207</v>
      </c>
      <c r="H15" s="41">
        <v>7000</v>
      </c>
      <c r="I15" s="54"/>
    </row>
    <row r="16" spans="1:11" x14ac:dyDescent="0.3">
      <c r="A16" s="38"/>
      <c r="B16" s="134" t="s">
        <v>4</v>
      </c>
      <c r="C16" s="40" t="s">
        <v>208</v>
      </c>
      <c r="D16" s="139" t="s">
        <v>320</v>
      </c>
      <c r="E16" s="44" t="s">
        <v>199</v>
      </c>
      <c r="F16" s="44" t="s">
        <v>203</v>
      </c>
      <c r="G16" s="44" t="s">
        <v>204</v>
      </c>
      <c r="H16" s="41">
        <v>7000</v>
      </c>
      <c r="I16" s="54"/>
    </row>
    <row r="17" spans="2:11" x14ac:dyDescent="0.3">
      <c r="B17" s="134" t="s">
        <v>22</v>
      </c>
      <c r="C17" s="40" t="s">
        <v>209</v>
      </c>
      <c r="D17" s="40"/>
      <c r="E17" s="44" t="s">
        <v>210</v>
      </c>
      <c r="F17" s="44" t="s">
        <v>211</v>
      </c>
      <c r="G17" s="44" t="s">
        <v>212</v>
      </c>
      <c r="H17" s="41">
        <v>7000</v>
      </c>
      <c r="I17" s="54"/>
    </row>
    <row r="18" spans="2:11" x14ac:dyDescent="0.3">
      <c r="B18" s="134" t="s">
        <v>23</v>
      </c>
      <c r="C18" s="40" t="s">
        <v>213</v>
      </c>
      <c r="D18" s="40">
        <v>2007</v>
      </c>
      <c r="E18" s="44" t="s">
        <v>214</v>
      </c>
      <c r="F18" s="44"/>
      <c r="G18" s="44"/>
      <c r="H18" s="41">
        <v>3800</v>
      </c>
      <c r="I18" s="54" t="s">
        <v>215</v>
      </c>
    </row>
    <row r="19" spans="2:11" x14ac:dyDescent="0.3">
      <c r="B19" s="134" t="s">
        <v>27</v>
      </c>
      <c r="C19" s="40" t="s">
        <v>216</v>
      </c>
      <c r="D19" s="40">
        <v>2006.2017000000001</v>
      </c>
      <c r="E19" s="44" t="s">
        <v>321</v>
      </c>
      <c r="F19" s="44" t="s">
        <v>217</v>
      </c>
      <c r="G19" s="44" t="s">
        <v>218</v>
      </c>
      <c r="H19" s="41">
        <v>7000</v>
      </c>
      <c r="I19" s="54"/>
    </row>
    <row r="20" spans="2:11" ht="15" thickBot="1" x14ac:dyDescent="0.35">
      <c r="B20" s="135" t="s">
        <v>38</v>
      </c>
      <c r="C20" s="136" t="s">
        <v>219</v>
      </c>
      <c r="D20" s="136">
        <v>2012</v>
      </c>
      <c r="E20" s="137" t="s">
        <v>199</v>
      </c>
      <c r="F20" s="137" t="s">
        <v>220</v>
      </c>
      <c r="G20" s="137" t="s">
        <v>221</v>
      </c>
      <c r="H20" s="42">
        <v>12400</v>
      </c>
      <c r="I20" s="55"/>
      <c r="K20" s="138">
        <f>SUM(H13:H20)</f>
        <v>61106.400000000001</v>
      </c>
    </row>
    <row r="22" spans="2:11" x14ac:dyDescent="0.3">
      <c r="B22" s="38"/>
      <c r="C22" s="38" t="s">
        <v>53</v>
      </c>
      <c r="D22" s="38"/>
      <c r="E22" s="38"/>
      <c r="F22" s="38"/>
      <c r="G22" s="38"/>
      <c r="H22" s="56">
        <v>41800</v>
      </c>
      <c r="I22" s="38"/>
    </row>
    <row r="23" spans="2:11" x14ac:dyDescent="0.3">
      <c r="B23" s="38"/>
      <c r="C23" s="38" t="s">
        <v>54</v>
      </c>
      <c r="D23" s="38"/>
      <c r="E23" s="38"/>
      <c r="F23" s="38"/>
      <c r="G23" s="38"/>
      <c r="H23" s="56">
        <v>61106.400000000001</v>
      </c>
      <c r="I23" s="38"/>
    </row>
    <row r="24" spans="2:11" x14ac:dyDescent="0.3">
      <c r="B24" s="38"/>
      <c r="C24" s="38" t="s">
        <v>71</v>
      </c>
      <c r="D24" s="38"/>
      <c r="E24" s="38"/>
      <c r="F24" s="38"/>
      <c r="G24" s="38"/>
      <c r="H24" s="56">
        <v>102906.4</v>
      </c>
      <c r="I24" s="38"/>
      <c r="K24" s="138">
        <f>SUM(K10+K20)</f>
        <v>102906.4</v>
      </c>
    </row>
    <row r="26" spans="2:11" x14ac:dyDescent="0.3">
      <c r="B26" s="38"/>
      <c r="C26" s="38" t="s">
        <v>222</v>
      </c>
      <c r="D26" s="38"/>
      <c r="E26" s="140"/>
      <c r="F26" s="140"/>
      <c r="G26" s="38"/>
      <c r="H26" s="38"/>
      <c r="I26" s="38"/>
    </row>
    <row r="27" spans="2:11" ht="15" thickBot="1" x14ac:dyDescent="0.35">
      <c r="B27" s="38"/>
      <c r="C27" s="38"/>
      <c r="D27" s="38"/>
      <c r="E27" s="140"/>
      <c r="F27" s="140"/>
      <c r="G27" s="38"/>
      <c r="H27" s="38"/>
      <c r="I27" s="38"/>
    </row>
    <row r="28" spans="2:11" ht="15" thickBot="1" x14ac:dyDescent="0.35">
      <c r="B28" s="184" t="s">
        <v>2</v>
      </c>
      <c r="C28" s="185" t="s">
        <v>261</v>
      </c>
      <c r="D28" s="186">
        <v>2012</v>
      </c>
      <c r="E28" s="187" t="s">
        <v>371</v>
      </c>
      <c r="F28" s="187" t="s">
        <v>372</v>
      </c>
      <c r="G28" s="187"/>
      <c r="H28" s="188">
        <v>25000</v>
      </c>
      <c r="I28" s="189"/>
    </row>
  </sheetData>
  <mergeCells count="1">
    <mergeCell ref="B1:I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A2C32-0D34-4929-9BD9-17C5A2F285D4}">
  <sheetPr>
    <tabColor theme="9" tint="0.79998168889431442"/>
  </sheetPr>
  <dimension ref="A2:K14"/>
  <sheetViews>
    <sheetView workbookViewId="0">
      <selection activeCell="F16" sqref="F16"/>
    </sheetView>
  </sheetViews>
  <sheetFormatPr defaultRowHeight="14.4" x14ac:dyDescent="0.3"/>
  <sheetData>
    <row r="2" spans="1:11" ht="15.6" x14ac:dyDescent="0.3">
      <c r="B2" s="395" t="s">
        <v>375</v>
      </c>
      <c r="C2" s="395"/>
      <c r="D2" s="395"/>
      <c r="E2" s="395"/>
      <c r="F2" s="395"/>
    </row>
    <row r="4" spans="1:11" x14ac:dyDescent="0.3">
      <c r="A4" t="s">
        <v>514</v>
      </c>
    </row>
    <row r="5" spans="1:11" x14ac:dyDescent="0.3">
      <c r="A5" t="s">
        <v>515</v>
      </c>
    </row>
    <row r="6" spans="1:11" x14ac:dyDescent="0.3">
      <c r="A6" s="190" t="s">
        <v>516</v>
      </c>
    </row>
    <row r="7" spans="1:11" x14ac:dyDescent="0.3">
      <c r="A7" t="s">
        <v>517</v>
      </c>
    </row>
    <row r="8" spans="1:11" x14ac:dyDescent="0.3">
      <c r="A8" t="s">
        <v>518</v>
      </c>
    </row>
    <row r="9" spans="1:11" x14ac:dyDescent="0.3">
      <c r="A9" t="s">
        <v>519</v>
      </c>
    </row>
    <row r="10" spans="1:11" x14ac:dyDescent="0.3">
      <c r="A10" s="25" t="s">
        <v>520</v>
      </c>
    </row>
    <row r="11" spans="1:11" x14ac:dyDescent="0.3">
      <c r="A11" s="25" t="s">
        <v>521</v>
      </c>
    </row>
    <row r="14" spans="1:11" x14ac:dyDescent="0.3">
      <c r="K14" s="25"/>
    </row>
  </sheetData>
  <mergeCells count="1">
    <mergeCell ref="B2:F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D66AF-B213-40A0-A3C2-60583C30861A}">
  <sheetPr>
    <tabColor theme="9" tint="0.79998168889431442"/>
  </sheetPr>
  <dimension ref="A2:M20"/>
  <sheetViews>
    <sheetView workbookViewId="0">
      <selection activeCell="N17" sqref="N17"/>
    </sheetView>
  </sheetViews>
  <sheetFormatPr defaultRowHeight="14.4" x14ac:dyDescent="0.3"/>
  <cols>
    <col min="1" max="1" width="8.88671875" style="25"/>
  </cols>
  <sheetData>
    <row r="2" spans="2:13" ht="15.6" x14ac:dyDescent="0.3">
      <c r="C2" s="395" t="s">
        <v>378</v>
      </c>
      <c r="D2" s="395"/>
      <c r="E2" s="395"/>
      <c r="F2" s="395"/>
      <c r="G2" s="395"/>
    </row>
    <row r="3" spans="2:13" s="25" customFormat="1" ht="15.6" x14ac:dyDescent="0.3">
      <c r="C3" s="182"/>
      <c r="D3" s="182"/>
      <c r="E3" s="182"/>
      <c r="F3" s="182"/>
      <c r="G3" s="182"/>
    </row>
    <row r="4" spans="2:13" s="25" customFormat="1" ht="15.6" x14ac:dyDescent="0.3">
      <c r="B4" s="401" t="s">
        <v>379</v>
      </c>
      <c r="C4" s="401"/>
      <c r="D4" s="401"/>
      <c r="E4" s="401"/>
      <c r="F4" s="401"/>
      <c r="G4" s="182"/>
      <c r="H4" s="124" t="s">
        <v>381</v>
      </c>
    </row>
    <row r="5" spans="2:13" x14ac:dyDescent="0.3">
      <c r="B5" s="400" t="s">
        <v>397</v>
      </c>
      <c r="C5" s="400"/>
      <c r="D5" s="400"/>
      <c r="E5" s="400"/>
      <c r="F5" s="400"/>
      <c r="G5" s="191"/>
      <c r="H5" s="190" t="s">
        <v>380</v>
      </c>
    </row>
    <row r="6" spans="2:13" x14ac:dyDescent="0.3">
      <c r="B6" s="400" t="s">
        <v>398</v>
      </c>
      <c r="C6" s="400"/>
      <c r="D6" s="400"/>
      <c r="E6" s="400"/>
      <c r="F6" s="400"/>
      <c r="G6" s="191"/>
      <c r="H6" s="190" t="s">
        <v>382</v>
      </c>
    </row>
    <row r="7" spans="2:13" x14ac:dyDescent="0.3">
      <c r="B7" s="400" t="s">
        <v>396</v>
      </c>
      <c r="C7" s="400"/>
      <c r="D7" s="400"/>
      <c r="E7" s="400"/>
      <c r="F7" s="400"/>
      <c r="G7" s="191"/>
      <c r="H7" s="190" t="s">
        <v>383</v>
      </c>
    </row>
    <row r="8" spans="2:13" x14ac:dyDescent="0.3">
      <c r="B8" s="400" t="s">
        <v>399</v>
      </c>
      <c r="C8" s="400"/>
      <c r="D8" s="400"/>
      <c r="E8" s="400"/>
      <c r="F8" s="400"/>
      <c r="G8" s="191"/>
      <c r="H8" s="190" t="s">
        <v>384</v>
      </c>
    </row>
    <row r="9" spans="2:13" x14ac:dyDescent="0.3">
      <c r="B9" s="400" t="s">
        <v>409</v>
      </c>
      <c r="C9" s="400"/>
      <c r="D9" s="400"/>
      <c r="E9" s="400"/>
      <c r="F9" s="400"/>
      <c r="G9" s="191"/>
      <c r="H9" s="190" t="s">
        <v>385</v>
      </c>
      <c r="J9" s="82"/>
      <c r="K9" s="173"/>
      <c r="L9" s="173"/>
      <c r="M9" s="173"/>
    </row>
    <row r="10" spans="2:13" x14ac:dyDescent="0.3">
      <c r="B10" s="400" t="s">
        <v>400</v>
      </c>
      <c r="C10" s="400"/>
      <c r="D10" s="400"/>
      <c r="E10" s="400"/>
      <c r="F10" s="400"/>
      <c r="G10" s="191"/>
      <c r="H10" s="190" t="s">
        <v>356</v>
      </c>
    </row>
    <row r="11" spans="2:13" x14ac:dyDescent="0.3">
      <c r="B11" s="400" t="s">
        <v>401</v>
      </c>
      <c r="C11" s="400"/>
      <c r="D11" s="400"/>
      <c r="E11" s="400"/>
      <c r="F11" s="400"/>
      <c r="G11" s="191"/>
      <c r="H11" s="190" t="s">
        <v>388</v>
      </c>
    </row>
    <row r="12" spans="2:13" x14ac:dyDescent="0.3">
      <c r="B12" s="400" t="s">
        <v>402</v>
      </c>
      <c r="C12" s="400"/>
      <c r="D12" s="400"/>
      <c r="E12" s="400"/>
      <c r="F12" s="400"/>
      <c r="G12" s="191"/>
      <c r="H12" s="190" t="s">
        <v>391</v>
      </c>
    </row>
    <row r="13" spans="2:13" x14ac:dyDescent="0.3">
      <c r="B13" s="400" t="s">
        <v>403</v>
      </c>
      <c r="C13" s="400"/>
      <c r="D13" s="400"/>
      <c r="E13" s="400"/>
      <c r="F13" s="400"/>
      <c r="G13" s="191"/>
      <c r="H13" s="190" t="s">
        <v>392</v>
      </c>
    </row>
    <row r="14" spans="2:13" x14ac:dyDescent="0.3">
      <c r="B14" s="400" t="s">
        <v>404</v>
      </c>
      <c r="C14" s="400"/>
      <c r="D14" s="400"/>
      <c r="E14" s="400"/>
      <c r="F14" s="400"/>
      <c r="G14" s="191"/>
      <c r="H14" s="190" t="s">
        <v>393</v>
      </c>
    </row>
    <row r="15" spans="2:13" x14ac:dyDescent="0.3">
      <c r="B15" s="400" t="s">
        <v>405</v>
      </c>
      <c r="C15" s="400"/>
      <c r="D15" s="400"/>
      <c r="E15" s="400"/>
      <c r="F15" s="400"/>
      <c r="G15" s="191"/>
      <c r="H15" s="190" t="s">
        <v>394</v>
      </c>
    </row>
    <row r="16" spans="2:13" x14ac:dyDescent="0.3">
      <c r="B16" s="400" t="s">
        <v>406</v>
      </c>
      <c r="C16" s="400"/>
      <c r="D16" s="400"/>
      <c r="E16" s="400"/>
      <c r="F16" s="400"/>
      <c r="G16" s="191"/>
      <c r="H16" s="190" t="s">
        <v>395</v>
      </c>
    </row>
    <row r="17" spans="2:8" x14ac:dyDescent="0.3">
      <c r="B17" s="400" t="s">
        <v>407</v>
      </c>
      <c r="C17" s="400"/>
      <c r="D17" s="400"/>
      <c r="E17" s="400"/>
      <c r="F17" s="400"/>
      <c r="G17" s="191"/>
      <c r="H17" s="190" t="s">
        <v>383</v>
      </c>
    </row>
    <row r="18" spans="2:8" x14ac:dyDescent="0.3">
      <c r="B18" s="400" t="s">
        <v>386</v>
      </c>
      <c r="C18" s="400"/>
      <c r="D18" s="400"/>
      <c r="E18" s="400"/>
      <c r="F18" s="400"/>
      <c r="G18" s="191"/>
      <c r="H18" s="190" t="s">
        <v>387</v>
      </c>
    </row>
    <row r="19" spans="2:8" x14ac:dyDescent="0.3">
      <c r="B19" s="400" t="s">
        <v>373</v>
      </c>
      <c r="C19" s="400"/>
      <c r="D19" s="400"/>
      <c r="E19" s="400"/>
      <c r="F19" s="400"/>
      <c r="G19" s="191"/>
      <c r="H19" s="190" t="s">
        <v>389</v>
      </c>
    </row>
    <row r="20" spans="2:8" x14ac:dyDescent="0.3">
      <c r="B20" s="400" t="s">
        <v>374</v>
      </c>
      <c r="C20" s="400"/>
      <c r="D20" s="400"/>
      <c r="E20" s="400"/>
      <c r="F20" s="400"/>
      <c r="G20" s="191"/>
      <c r="H20" s="190" t="s">
        <v>390</v>
      </c>
    </row>
  </sheetData>
  <mergeCells count="18">
    <mergeCell ref="B14:F14"/>
    <mergeCell ref="B15:F15"/>
    <mergeCell ref="C2:G2"/>
    <mergeCell ref="B9:F9"/>
    <mergeCell ref="B10:F10"/>
    <mergeCell ref="B11:F11"/>
    <mergeCell ref="B12:F12"/>
    <mergeCell ref="B13:F13"/>
    <mergeCell ref="B4:F4"/>
    <mergeCell ref="B5:F5"/>
    <mergeCell ref="B6:F6"/>
    <mergeCell ref="B7:F7"/>
    <mergeCell ref="B8:F8"/>
    <mergeCell ref="B16:F16"/>
    <mergeCell ref="B17:F17"/>
    <mergeCell ref="B18:F18"/>
    <mergeCell ref="B19:F19"/>
    <mergeCell ref="B20:F20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34091-CD52-4FED-A57E-C2C36D096184}">
  <sheetPr>
    <tabColor theme="9" tint="0.79998168889431442"/>
  </sheetPr>
  <dimension ref="A1:K63"/>
  <sheetViews>
    <sheetView topLeftCell="A39" workbookViewId="0">
      <selection activeCell="M12" sqref="M12"/>
    </sheetView>
  </sheetViews>
  <sheetFormatPr defaultColWidth="9.109375" defaultRowHeight="14.4" x14ac:dyDescent="0.3"/>
  <cols>
    <col min="1" max="1" width="9.109375" style="25"/>
    <col min="2" max="2" width="13.6640625" style="25" customWidth="1"/>
    <col min="3" max="3" width="33.44140625" style="25" customWidth="1"/>
    <col min="4" max="4" width="15.44140625" style="25" customWidth="1"/>
    <col min="5" max="5" width="15.5546875" style="25" customWidth="1"/>
    <col min="6" max="6" width="17.44140625" style="25" customWidth="1"/>
    <col min="7" max="7" width="36.109375" style="25" customWidth="1"/>
    <col min="8" max="8" width="29" style="25" customWidth="1"/>
    <col min="9" max="9" width="18.33203125" style="25" customWidth="1"/>
    <col min="10" max="16384" width="9.109375" style="25"/>
  </cols>
  <sheetData>
    <row r="1" spans="1:11" ht="15.6" x14ac:dyDescent="0.3">
      <c r="A1" s="38"/>
      <c r="B1" s="395" t="s">
        <v>502</v>
      </c>
      <c r="C1" s="395"/>
      <c r="D1" s="395"/>
      <c r="E1" s="395"/>
      <c r="F1" s="395"/>
      <c r="G1" s="395"/>
      <c r="H1" s="395"/>
      <c r="I1" s="395"/>
      <c r="J1" s="129"/>
      <c r="K1" s="129"/>
    </row>
    <row r="2" spans="1:11" ht="18" thickBot="1" x14ac:dyDescent="0.35">
      <c r="A2" s="38"/>
      <c r="B2" s="174"/>
      <c r="C2" s="174"/>
      <c r="D2" s="174"/>
      <c r="E2" s="174"/>
      <c r="F2" s="174"/>
      <c r="G2" s="174"/>
      <c r="H2" s="174"/>
      <c r="I2" s="174"/>
      <c r="J2" s="129"/>
      <c r="K2" s="129"/>
    </row>
    <row r="3" spans="1:11" ht="42" thickBot="1" x14ac:dyDescent="0.35">
      <c r="A3" s="38"/>
      <c r="B3" s="198" t="s">
        <v>410</v>
      </c>
      <c r="C3" s="199" t="s">
        <v>411</v>
      </c>
      <c r="D3" s="199" t="s">
        <v>506</v>
      </c>
      <c r="E3" s="199" t="s">
        <v>412</v>
      </c>
      <c r="F3" s="199" t="s">
        <v>413</v>
      </c>
      <c r="G3" s="200" t="s">
        <v>414</v>
      </c>
      <c r="H3" s="200" t="s">
        <v>414</v>
      </c>
      <c r="I3" s="199" t="s">
        <v>415</v>
      </c>
      <c r="J3" s="199" t="s">
        <v>505</v>
      </c>
      <c r="K3" s="129"/>
    </row>
    <row r="4" spans="1:11" ht="15" customHeight="1" x14ac:dyDescent="0.3">
      <c r="A4" s="38"/>
      <c r="B4" s="402">
        <v>1</v>
      </c>
      <c r="C4" s="402" t="s">
        <v>416</v>
      </c>
      <c r="D4" s="404" t="s">
        <v>417</v>
      </c>
      <c r="E4" s="402">
        <v>4</v>
      </c>
      <c r="F4" s="402">
        <v>20.399999999999999</v>
      </c>
      <c r="G4" s="406" t="s">
        <v>418</v>
      </c>
      <c r="H4" s="202" t="s">
        <v>419</v>
      </c>
      <c r="I4" s="408">
        <v>30000</v>
      </c>
      <c r="J4" s="402">
        <v>2013</v>
      </c>
      <c r="K4" s="129"/>
    </row>
    <row r="5" spans="1:11" ht="15" thickBot="1" x14ac:dyDescent="0.35">
      <c r="A5" s="172"/>
      <c r="B5" s="403"/>
      <c r="C5" s="403"/>
      <c r="D5" s="405"/>
      <c r="E5" s="403"/>
      <c r="F5" s="403"/>
      <c r="G5" s="407"/>
      <c r="H5" s="204" t="s">
        <v>420</v>
      </c>
      <c r="I5" s="409"/>
      <c r="J5" s="403"/>
      <c r="K5" s="129"/>
    </row>
    <row r="6" spans="1:11" x14ac:dyDescent="0.3">
      <c r="A6" s="172"/>
      <c r="B6" s="402">
        <v>2</v>
      </c>
      <c r="C6" s="402" t="s">
        <v>421</v>
      </c>
      <c r="D6" s="404" t="s">
        <v>417</v>
      </c>
      <c r="E6" s="402">
        <v>1</v>
      </c>
      <c r="F6" s="402">
        <v>3</v>
      </c>
      <c r="G6" s="202" t="s">
        <v>422</v>
      </c>
      <c r="H6" s="402" t="s">
        <v>424</v>
      </c>
      <c r="I6" s="408">
        <v>5000</v>
      </c>
      <c r="J6" s="402">
        <v>2000</v>
      </c>
      <c r="K6" s="129"/>
    </row>
    <row r="7" spans="1:11" ht="15" thickBot="1" x14ac:dyDescent="0.35">
      <c r="A7" s="172"/>
      <c r="B7" s="403"/>
      <c r="C7" s="403"/>
      <c r="D7" s="405"/>
      <c r="E7" s="403"/>
      <c r="F7" s="403"/>
      <c r="G7" s="204" t="s">
        <v>423</v>
      </c>
      <c r="H7" s="403"/>
      <c r="I7" s="409"/>
      <c r="J7" s="403"/>
      <c r="K7" s="129"/>
    </row>
    <row r="8" spans="1:11" x14ac:dyDescent="0.3">
      <c r="A8" s="172"/>
      <c r="B8" s="402">
        <v>3</v>
      </c>
      <c r="C8" s="402" t="s">
        <v>425</v>
      </c>
      <c r="D8" s="404" t="s">
        <v>417</v>
      </c>
      <c r="E8" s="402">
        <v>2</v>
      </c>
      <c r="F8" s="402">
        <v>15</v>
      </c>
      <c r="G8" s="202" t="s">
        <v>419</v>
      </c>
      <c r="H8" s="402" t="s">
        <v>424</v>
      </c>
      <c r="I8" s="408">
        <v>15000</v>
      </c>
      <c r="J8" s="402">
        <v>2010</v>
      </c>
      <c r="K8" s="129"/>
    </row>
    <row r="9" spans="1:11" ht="15" thickBot="1" x14ac:dyDescent="0.35">
      <c r="A9" s="172"/>
      <c r="B9" s="403"/>
      <c r="C9" s="403"/>
      <c r="D9" s="405"/>
      <c r="E9" s="403"/>
      <c r="F9" s="403"/>
      <c r="G9" s="204" t="s">
        <v>426</v>
      </c>
      <c r="H9" s="403"/>
      <c r="I9" s="409"/>
      <c r="J9" s="403"/>
      <c r="K9" s="129"/>
    </row>
    <row r="10" spans="1:11" x14ac:dyDescent="0.3">
      <c r="A10" s="172"/>
      <c r="B10" s="402">
        <v>4</v>
      </c>
      <c r="C10" s="402" t="s">
        <v>427</v>
      </c>
      <c r="D10" s="404" t="s">
        <v>417</v>
      </c>
      <c r="E10" s="402">
        <v>2</v>
      </c>
      <c r="F10" s="402">
        <v>5.4</v>
      </c>
      <c r="G10" s="202" t="s">
        <v>419</v>
      </c>
      <c r="H10" s="402" t="s">
        <v>424</v>
      </c>
      <c r="I10" s="408">
        <v>15000</v>
      </c>
      <c r="J10" s="402">
        <v>2011</v>
      </c>
      <c r="K10" s="129"/>
    </row>
    <row r="11" spans="1:11" ht="15" thickBot="1" x14ac:dyDescent="0.35">
      <c r="A11" s="38"/>
      <c r="B11" s="403"/>
      <c r="C11" s="403"/>
      <c r="D11" s="405"/>
      <c r="E11" s="403"/>
      <c r="F11" s="403"/>
      <c r="G11" s="204" t="s">
        <v>428</v>
      </c>
      <c r="H11" s="403"/>
      <c r="I11" s="409"/>
      <c r="J11" s="403"/>
      <c r="K11" s="129"/>
    </row>
    <row r="12" spans="1:11" x14ac:dyDescent="0.3">
      <c r="A12" s="38"/>
      <c r="B12" s="402">
        <v>5</v>
      </c>
      <c r="C12" s="402" t="s">
        <v>429</v>
      </c>
      <c r="D12" s="404" t="s">
        <v>417</v>
      </c>
      <c r="E12" s="402">
        <v>2</v>
      </c>
      <c r="F12" s="402">
        <v>5.4</v>
      </c>
      <c r="G12" s="202" t="s">
        <v>430</v>
      </c>
      <c r="H12" s="202" t="s">
        <v>430</v>
      </c>
      <c r="I12" s="408">
        <v>8000</v>
      </c>
      <c r="J12" s="402">
        <v>1999</v>
      </c>
      <c r="K12" s="129"/>
    </row>
    <row r="13" spans="1:11" ht="15" thickBot="1" x14ac:dyDescent="0.35">
      <c r="A13" s="38"/>
      <c r="B13" s="403"/>
      <c r="C13" s="403"/>
      <c r="D13" s="405"/>
      <c r="E13" s="403"/>
      <c r="F13" s="403"/>
      <c r="G13" s="204" t="s">
        <v>431</v>
      </c>
      <c r="H13" s="204" t="s">
        <v>432</v>
      </c>
      <c r="I13" s="409"/>
      <c r="J13" s="403"/>
      <c r="K13" s="129"/>
    </row>
    <row r="14" spans="1:11" x14ac:dyDescent="0.3">
      <c r="A14" s="38"/>
      <c r="B14" s="402">
        <v>6</v>
      </c>
      <c r="C14" s="402" t="s">
        <v>433</v>
      </c>
      <c r="D14" s="404" t="s">
        <v>417</v>
      </c>
      <c r="E14" s="402">
        <v>2</v>
      </c>
      <c r="F14" s="402">
        <v>8</v>
      </c>
      <c r="G14" s="202" t="s">
        <v>419</v>
      </c>
      <c r="H14" s="402" t="s">
        <v>424</v>
      </c>
      <c r="I14" s="408">
        <v>15000</v>
      </c>
      <c r="J14" s="402">
        <v>2017</v>
      </c>
      <c r="K14" s="129"/>
    </row>
    <row r="15" spans="1:11" ht="15" thickBot="1" x14ac:dyDescent="0.35">
      <c r="A15" s="38"/>
      <c r="B15" s="403"/>
      <c r="C15" s="403"/>
      <c r="D15" s="405"/>
      <c r="E15" s="403"/>
      <c r="F15" s="403"/>
      <c r="G15" s="204" t="s">
        <v>434</v>
      </c>
      <c r="H15" s="403"/>
      <c r="I15" s="409"/>
      <c r="J15" s="403"/>
      <c r="K15" s="129"/>
    </row>
    <row r="16" spans="1:11" x14ac:dyDescent="0.3">
      <c r="A16" s="38"/>
      <c r="B16" s="402">
        <v>7</v>
      </c>
      <c r="C16" s="402" t="s">
        <v>435</v>
      </c>
      <c r="D16" s="404" t="s">
        <v>417</v>
      </c>
      <c r="E16" s="402">
        <v>2</v>
      </c>
      <c r="F16" s="402">
        <v>9.5</v>
      </c>
      <c r="G16" s="202" t="s">
        <v>436</v>
      </c>
      <c r="H16" s="202" t="s">
        <v>430</v>
      </c>
      <c r="I16" s="408">
        <v>15000</v>
      </c>
      <c r="J16" s="402">
        <v>2018</v>
      </c>
      <c r="K16" s="129"/>
    </row>
    <row r="17" spans="2:11" x14ac:dyDescent="0.3">
      <c r="B17" s="411"/>
      <c r="C17" s="411"/>
      <c r="D17" s="412"/>
      <c r="E17" s="411"/>
      <c r="F17" s="411"/>
      <c r="G17" s="202" t="s">
        <v>437</v>
      </c>
      <c r="H17" s="202" t="s">
        <v>438</v>
      </c>
      <c r="I17" s="410"/>
      <c r="J17" s="411"/>
      <c r="K17" s="129"/>
    </row>
    <row r="18" spans="2:11" ht="15" thickBot="1" x14ac:dyDescent="0.35">
      <c r="B18" s="403"/>
      <c r="C18" s="403"/>
      <c r="D18" s="405"/>
      <c r="E18" s="403"/>
      <c r="F18" s="403"/>
      <c r="G18" s="203"/>
      <c r="H18" s="203"/>
      <c r="I18" s="409"/>
      <c r="J18" s="403"/>
      <c r="K18" s="129"/>
    </row>
    <row r="19" spans="2:11" x14ac:dyDescent="0.3">
      <c r="B19" s="402">
        <v>8</v>
      </c>
      <c r="C19" s="402" t="s">
        <v>439</v>
      </c>
      <c r="D19" s="404" t="s">
        <v>417</v>
      </c>
      <c r="E19" s="402">
        <v>1</v>
      </c>
      <c r="F19" s="402">
        <v>7.5</v>
      </c>
      <c r="G19" s="202" t="s">
        <v>430</v>
      </c>
      <c r="H19" s="402" t="s">
        <v>424</v>
      </c>
      <c r="I19" s="408">
        <v>12000</v>
      </c>
      <c r="J19" s="402">
        <v>2018</v>
      </c>
      <c r="K19" s="129"/>
    </row>
    <row r="20" spans="2:11" ht="15" thickBot="1" x14ac:dyDescent="0.35">
      <c r="B20" s="403"/>
      <c r="C20" s="403"/>
      <c r="D20" s="405"/>
      <c r="E20" s="403"/>
      <c r="F20" s="403"/>
      <c r="G20" s="204" t="s">
        <v>440</v>
      </c>
      <c r="H20" s="403"/>
      <c r="I20" s="409"/>
      <c r="J20" s="403"/>
      <c r="K20" s="129"/>
    </row>
    <row r="21" spans="2:11" x14ac:dyDescent="0.3">
      <c r="B21" s="402">
        <v>9</v>
      </c>
      <c r="C21" s="402" t="s">
        <v>441</v>
      </c>
      <c r="D21" s="404" t="s">
        <v>417</v>
      </c>
      <c r="E21" s="402">
        <v>2</v>
      </c>
      <c r="F21" s="402">
        <v>4.4000000000000004</v>
      </c>
      <c r="G21" s="202" t="s">
        <v>442</v>
      </c>
      <c r="H21" s="402" t="s">
        <v>424</v>
      </c>
      <c r="I21" s="408">
        <v>15000</v>
      </c>
      <c r="J21" s="402">
        <v>2019</v>
      </c>
      <c r="K21" s="129"/>
    </row>
    <row r="22" spans="2:11" ht="15" thickBot="1" x14ac:dyDescent="0.35">
      <c r="B22" s="403"/>
      <c r="C22" s="403"/>
      <c r="D22" s="405"/>
      <c r="E22" s="403"/>
      <c r="F22" s="403"/>
      <c r="G22" s="204" t="s">
        <v>443</v>
      </c>
      <c r="H22" s="403"/>
      <c r="I22" s="409"/>
      <c r="J22" s="403"/>
      <c r="K22" s="129"/>
    </row>
    <row r="23" spans="2:11" ht="27" thickBot="1" x14ac:dyDescent="0.35">
      <c r="B23" s="215">
        <v>10</v>
      </c>
      <c r="C23" s="203" t="s">
        <v>444</v>
      </c>
      <c r="D23" s="205" t="s">
        <v>417</v>
      </c>
      <c r="E23" s="203">
        <v>2</v>
      </c>
      <c r="F23" s="203">
        <v>3</v>
      </c>
      <c r="G23" s="204" t="s">
        <v>445</v>
      </c>
      <c r="H23" s="203" t="s">
        <v>424</v>
      </c>
      <c r="I23" s="206">
        <v>10000</v>
      </c>
      <c r="J23" s="203">
        <v>2006</v>
      </c>
      <c r="K23" s="129"/>
    </row>
    <row r="24" spans="2:11" x14ac:dyDescent="0.3">
      <c r="B24" s="402">
        <v>11</v>
      </c>
      <c r="C24" s="402" t="s">
        <v>446</v>
      </c>
      <c r="D24" s="404" t="s">
        <v>447</v>
      </c>
      <c r="E24" s="402">
        <v>1</v>
      </c>
      <c r="F24" s="402">
        <v>1.5</v>
      </c>
      <c r="G24" s="201" t="s">
        <v>448</v>
      </c>
      <c r="H24" s="402" t="s">
        <v>424</v>
      </c>
      <c r="I24" s="408">
        <v>7000</v>
      </c>
      <c r="J24" s="402">
        <v>2015</v>
      </c>
      <c r="K24" s="129"/>
    </row>
    <row r="25" spans="2:11" ht="15" thickBot="1" x14ac:dyDescent="0.35">
      <c r="B25" s="403"/>
      <c r="C25" s="403"/>
      <c r="D25" s="405"/>
      <c r="E25" s="403"/>
      <c r="F25" s="403"/>
      <c r="G25" s="203" t="s">
        <v>449</v>
      </c>
      <c r="H25" s="403"/>
      <c r="I25" s="409"/>
      <c r="J25" s="403"/>
      <c r="K25" s="129"/>
    </row>
    <row r="26" spans="2:11" x14ac:dyDescent="0.3">
      <c r="B26" s="402">
        <v>12</v>
      </c>
      <c r="C26" s="402" t="s">
        <v>450</v>
      </c>
      <c r="D26" s="404" t="s">
        <v>417</v>
      </c>
      <c r="E26" s="402">
        <v>3</v>
      </c>
      <c r="F26" s="402">
        <v>40</v>
      </c>
      <c r="G26" s="202" t="s">
        <v>419</v>
      </c>
      <c r="H26" s="202" t="s">
        <v>452</v>
      </c>
      <c r="I26" s="408">
        <v>35000</v>
      </c>
      <c r="J26" s="402">
        <v>2010</v>
      </c>
      <c r="K26" s="129"/>
    </row>
    <row r="27" spans="2:11" x14ac:dyDescent="0.3">
      <c r="B27" s="411"/>
      <c r="C27" s="411"/>
      <c r="D27" s="412"/>
      <c r="E27" s="411"/>
      <c r="F27" s="411"/>
      <c r="G27" s="202" t="s">
        <v>451</v>
      </c>
      <c r="H27" s="202" t="s">
        <v>453</v>
      </c>
      <c r="I27" s="410"/>
      <c r="J27" s="411"/>
      <c r="K27" s="129"/>
    </row>
    <row r="28" spans="2:11" ht="15" thickBot="1" x14ac:dyDescent="0.35">
      <c r="B28" s="403"/>
      <c r="C28" s="403"/>
      <c r="D28" s="405"/>
      <c r="E28" s="403"/>
      <c r="F28" s="403"/>
      <c r="G28" s="203"/>
      <c r="H28" s="203"/>
      <c r="I28" s="409"/>
      <c r="J28" s="403"/>
    </row>
    <row r="29" spans="2:11" x14ac:dyDescent="0.3">
      <c r="B29" s="402">
        <v>13</v>
      </c>
      <c r="C29" s="402" t="s">
        <v>454</v>
      </c>
      <c r="D29" s="404" t="s">
        <v>417</v>
      </c>
      <c r="E29" s="402">
        <v>1</v>
      </c>
      <c r="F29" s="402">
        <v>3</v>
      </c>
      <c r="G29" s="202" t="s">
        <v>430</v>
      </c>
      <c r="H29" s="402" t="s">
        <v>424</v>
      </c>
      <c r="I29" s="408">
        <v>8000</v>
      </c>
      <c r="J29" s="402">
        <v>2000</v>
      </c>
    </row>
    <row r="30" spans="2:11" x14ac:dyDescent="0.3">
      <c r="B30" s="411"/>
      <c r="C30" s="411"/>
      <c r="D30" s="412"/>
      <c r="E30" s="411"/>
      <c r="F30" s="411"/>
      <c r="G30" s="202" t="s">
        <v>455</v>
      </c>
      <c r="H30" s="411"/>
      <c r="I30" s="410"/>
      <c r="J30" s="411"/>
    </row>
    <row r="31" spans="2:11" ht="15" thickBot="1" x14ac:dyDescent="0.35">
      <c r="B31" s="403"/>
      <c r="C31" s="403"/>
      <c r="D31" s="405"/>
      <c r="E31" s="403"/>
      <c r="F31" s="403"/>
      <c r="G31" s="203"/>
      <c r="H31" s="403"/>
      <c r="I31" s="409"/>
      <c r="J31" s="403"/>
    </row>
    <row r="32" spans="2:11" ht="14.4" customHeight="1" x14ac:dyDescent="0.3">
      <c r="B32" s="402">
        <v>14</v>
      </c>
      <c r="C32" s="404" t="s">
        <v>456</v>
      </c>
      <c r="D32" s="404" t="s">
        <v>457</v>
      </c>
      <c r="E32" s="402">
        <v>2</v>
      </c>
      <c r="F32" s="402">
        <v>3.3</v>
      </c>
      <c r="G32" s="402" t="s">
        <v>458</v>
      </c>
      <c r="H32" s="201" t="s">
        <v>459</v>
      </c>
      <c r="I32" s="408">
        <v>8000</v>
      </c>
      <c r="J32" s="402">
        <v>2013</v>
      </c>
    </row>
    <row r="33" spans="2:10" ht="15" thickBot="1" x14ac:dyDescent="0.35">
      <c r="B33" s="403"/>
      <c r="C33" s="405"/>
      <c r="D33" s="405"/>
      <c r="E33" s="403"/>
      <c r="F33" s="403"/>
      <c r="G33" s="403"/>
      <c r="H33" s="203" t="s">
        <v>460</v>
      </c>
      <c r="I33" s="409"/>
      <c r="J33" s="403"/>
    </row>
    <row r="34" spans="2:10" x14ac:dyDescent="0.3">
      <c r="B34" s="402">
        <v>15</v>
      </c>
      <c r="C34" s="402" t="s">
        <v>461</v>
      </c>
      <c r="D34" s="404" t="s">
        <v>462</v>
      </c>
      <c r="E34" s="402">
        <v>1</v>
      </c>
      <c r="F34" s="402">
        <v>3</v>
      </c>
      <c r="G34" s="208" t="s">
        <v>463</v>
      </c>
      <c r="H34" s="402" t="s">
        <v>424</v>
      </c>
      <c r="I34" s="408">
        <v>5000</v>
      </c>
      <c r="J34" s="402">
        <v>1990</v>
      </c>
    </row>
    <row r="35" spans="2:10" ht="15" thickBot="1" x14ac:dyDescent="0.35">
      <c r="B35" s="403"/>
      <c r="C35" s="403"/>
      <c r="D35" s="405"/>
      <c r="E35" s="403"/>
      <c r="F35" s="403"/>
      <c r="G35" s="209" t="s">
        <v>423</v>
      </c>
      <c r="H35" s="403"/>
      <c r="I35" s="409"/>
      <c r="J35" s="403"/>
    </row>
    <row r="36" spans="2:10" x14ac:dyDescent="0.3">
      <c r="B36" s="402">
        <v>16</v>
      </c>
      <c r="C36" s="402" t="s">
        <v>464</v>
      </c>
      <c r="D36" s="404" t="s">
        <v>462</v>
      </c>
      <c r="E36" s="402">
        <v>2</v>
      </c>
      <c r="F36" s="402">
        <v>6</v>
      </c>
      <c r="G36" s="201" t="s">
        <v>465</v>
      </c>
      <c r="H36" s="402" t="s">
        <v>424</v>
      </c>
      <c r="I36" s="408">
        <v>12000</v>
      </c>
      <c r="J36" s="402">
        <v>2011</v>
      </c>
    </row>
    <row r="37" spans="2:10" ht="15" thickBot="1" x14ac:dyDescent="0.35">
      <c r="B37" s="403"/>
      <c r="C37" s="403"/>
      <c r="D37" s="405"/>
      <c r="E37" s="403"/>
      <c r="F37" s="403"/>
      <c r="G37" s="203" t="s">
        <v>466</v>
      </c>
      <c r="H37" s="403"/>
      <c r="I37" s="409"/>
      <c r="J37" s="403"/>
    </row>
    <row r="38" spans="2:10" x14ac:dyDescent="0.3">
      <c r="B38" s="402">
        <v>17</v>
      </c>
      <c r="C38" s="402" t="s">
        <v>467</v>
      </c>
      <c r="D38" s="404" t="s">
        <v>462</v>
      </c>
      <c r="E38" s="402">
        <v>2</v>
      </c>
      <c r="F38" s="402">
        <v>7</v>
      </c>
      <c r="G38" s="201" t="s">
        <v>459</v>
      </c>
      <c r="H38" s="201" t="s">
        <v>459</v>
      </c>
      <c r="I38" s="408">
        <v>12000</v>
      </c>
      <c r="J38" s="402">
        <v>2005</v>
      </c>
    </row>
    <row r="39" spans="2:10" ht="15" thickBot="1" x14ac:dyDescent="0.35">
      <c r="B39" s="403"/>
      <c r="C39" s="403"/>
      <c r="D39" s="405"/>
      <c r="E39" s="403"/>
      <c r="F39" s="403"/>
      <c r="G39" s="203" t="s">
        <v>468</v>
      </c>
      <c r="H39" s="203" t="s">
        <v>466</v>
      </c>
      <c r="I39" s="409"/>
      <c r="J39" s="403"/>
    </row>
    <row r="40" spans="2:10" x14ac:dyDescent="0.3">
      <c r="B40" s="402">
        <v>18</v>
      </c>
      <c r="C40" s="402" t="s">
        <v>469</v>
      </c>
      <c r="D40" s="404" t="s">
        <v>470</v>
      </c>
      <c r="E40" s="402">
        <v>1</v>
      </c>
      <c r="F40" s="402">
        <v>16</v>
      </c>
      <c r="G40" s="210" t="s">
        <v>471</v>
      </c>
      <c r="H40" s="402" t="s">
        <v>424</v>
      </c>
      <c r="I40" s="408">
        <v>12000</v>
      </c>
      <c r="J40" s="402">
        <v>2003</v>
      </c>
    </row>
    <row r="41" spans="2:10" ht="15" thickBot="1" x14ac:dyDescent="0.35">
      <c r="B41" s="403"/>
      <c r="C41" s="403"/>
      <c r="D41" s="405"/>
      <c r="E41" s="403"/>
      <c r="F41" s="403"/>
      <c r="G41" s="207" t="s">
        <v>472</v>
      </c>
      <c r="H41" s="403"/>
      <c r="I41" s="409"/>
      <c r="J41" s="403"/>
    </row>
    <row r="42" spans="2:10" x14ac:dyDescent="0.3">
      <c r="B42" s="402">
        <v>19</v>
      </c>
      <c r="C42" s="402" t="s">
        <v>473</v>
      </c>
      <c r="D42" s="404" t="s">
        <v>470</v>
      </c>
      <c r="E42" s="402">
        <v>1</v>
      </c>
      <c r="F42" s="402">
        <v>3</v>
      </c>
      <c r="G42" s="210" t="s">
        <v>463</v>
      </c>
      <c r="H42" s="402" t="s">
        <v>424</v>
      </c>
      <c r="I42" s="408">
        <v>15000</v>
      </c>
      <c r="J42" s="402">
        <v>2020</v>
      </c>
    </row>
    <row r="43" spans="2:10" ht="15" thickBot="1" x14ac:dyDescent="0.35">
      <c r="B43" s="403"/>
      <c r="C43" s="403"/>
      <c r="D43" s="405"/>
      <c r="E43" s="403"/>
      <c r="F43" s="403"/>
      <c r="G43" s="207" t="s">
        <v>474</v>
      </c>
      <c r="H43" s="403"/>
      <c r="I43" s="409"/>
      <c r="J43" s="403"/>
    </row>
    <row r="44" spans="2:10" x14ac:dyDescent="0.3">
      <c r="B44" s="402">
        <v>20</v>
      </c>
      <c r="C44" s="402" t="s">
        <v>281</v>
      </c>
      <c r="D44" s="404" t="s">
        <v>475</v>
      </c>
      <c r="E44" s="402">
        <v>1</v>
      </c>
      <c r="F44" s="402">
        <v>3</v>
      </c>
      <c r="G44" s="210" t="s">
        <v>463</v>
      </c>
      <c r="H44" s="402" t="s">
        <v>424</v>
      </c>
      <c r="I44" s="408">
        <v>3000</v>
      </c>
      <c r="J44" s="402">
        <v>1995</v>
      </c>
    </row>
    <row r="45" spans="2:10" ht="15" thickBot="1" x14ac:dyDescent="0.35">
      <c r="B45" s="403"/>
      <c r="C45" s="403"/>
      <c r="D45" s="405"/>
      <c r="E45" s="403"/>
      <c r="F45" s="403"/>
      <c r="G45" s="207" t="s">
        <v>474</v>
      </c>
      <c r="H45" s="403"/>
      <c r="I45" s="409"/>
      <c r="J45" s="403"/>
    </row>
    <row r="46" spans="2:10" ht="29.4" thickBot="1" x14ac:dyDescent="0.35">
      <c r="B46" s="215">
        <v>21</v>
      </c>
      <c r="C46" s="203" t="s">
        <v>476</v>
      </c>
      <c r="D46" s="205" t="s">
        <v>477</v>
      </c>
      <c r="E46" s="203">
        <v>1</v>
      </c>
      <c r="F46" s="203">
        <v>1.5</v>
      </c>
      <c r="G46" s="203" t="s">
        <v>478</v>
      </c>
      <c r="H46" s="203" t="s">
        <v>424</v>
      </c>
      <c r="I46" s="206">
        <v>10000</v>
      </c>
      <c r="J46" s="203">
        <v>2008</v>
      </c>
    </row>
    <row r="47" spans="2:10" ht="15" customHeight="1" x14ac:dyDescent="0.3">
      <c r="B47" s="402">
        <v>22</v>
      </c>
      <c r="C47" s="402" t="s">
        <v>479</v>
      </c>
      <c r="D47" s="404" t="s">
        <v>462</v>
      </c>
      <c r="E47" s="402">
        <v>2</v>
      </c>
      <c r="F47" s="402">
        <v>8.5</v>
      </c>
      <c r="G47" s="211" t="s">
        <v>463</v>
      </c>
      <c r="H47" s="402" t="s">
        <v>481</v>
      </c>
      <c r="I47" s="408">
        <v>30000</v>
      </c>
      <c r="J47" s="402">
        <v>2014</v>
      </c>
    </row>
    <row r="48" spans="2:10" ht="15" thickBot="1" x14ac:dyDescent="0.35">
      <c r="B48" s="403"/>
      <c r="C48" s="403"/>
      <c r="D48" s="405"/>
      <c r="E48" s="403"/>
      <c r="F48" s="403"/>
      <c r="G48" s="205" t="s">
        <v>480</v>
      </c>
      <c r="H48" s="403"/>
      <c r="I48" s="409"/>
      <c r="J48" s="403"/>
    </row>
    <row r="49" spans="2:10" ht="15" thickBot="1" x14ac:dyDescent="0.35">
      <c r="B49" s="215">
        <v>23</v>
      </c>
      <c r="C49" s="203" t="s">
        <v>482</v>
      </c>
      <c r="D49" s="205" t="s">
        <v>483</v>
      </c>
      <c r="E49" s="203">
        <v>1</v>
      </c>
      <c r="F49" s="203">
        <v>3.2</v>
      </c>
      <c r="G49" s="203" t="s">
        <v>484</v>
      </c>
      <c r="H49" s="203" t="s">
        <v>424</v>
      </c>
      <c r="I49" s="206">
        <v>5000</v>
      </c>
      <c r="J49" s="203">
        <v>2007</v>
      </c>
    </row>
    <row r="50" spans="2:10" ht="15" thickBot="1" x14ac:dyDescent="0.35">
      <c r="B50" s="215">
        <v>24</v>
      </c>
      <c r="C50" s="203" t="s">
        <v>485</v>
      </c>
      <c r="D50" s="205" t="s">
        <v>462</v>
      </c>
      <c r="E50" s="203">
        <v>2</v>
      </c>
      <c r="F50" s="203">
        <v>4.4000000000000004</v>
      </c>
      <c r="G50" s="203" t="s">
        <v>486</v>
      </c>
      <c r="H50" s="203" t="s">
        <v>424</v>
      </c>
      <c r="I50" s="206">
        <v>10000</v>
      </c>
      <c r="J50" s="203">
        <v>2012</v>
      </c>
    </row>
    <row r="51" spans="2:10" ht="15" thickBot="1" x14ac:dyDescent="0.35">
      <c r="B51" s="215">
        <v>25</v>
      </c>
      <c r="C51" s="205" t="s">
        <v>487</v>
      </c>
      <c r="D51" s="205" t="s">
        <v>470</v>
      </c>
      <c r="E51" s="203">
        <v>1</v>
      </c>
      <c r="F51" s="203">
        <v>5.5</v>
      </c>
      <c r="G51" s="204" t="s">
        <v>488</v>
      </c>
      <c r="H51" s="203" t="s">
        <v>424</v>
      </c>
      <c r="I51" s="206">
        <v>12000</v>
      </c>
      <c r="J51" s="203">
        <v>2012</v>
      </c>
    </row>
    <row r="52" spans="2:10" ht="15" thickBot="1" x14ac:dyDescent="0.35">
      <c r="B52" s="215">
        <v>26</v>
      </c>
      <c r="C52" s="205" t="s">
        <v>489</v>
      </c>
      <c r="D52" s="205" t="s">
        <v>417</v>
      </c>
      <c r="E52" s="203">
        <v>1</v>
      </c>
      <c r="F52" s="203">
        <v>5.5</v>
      </c>
      <c r="G52" s="204" t="s">
        <v>488</v>
      </c>
      <c r="H52" s="203" t="s">
        <v>424</v>
      </c>
      <c r="I52" s="206">
        <v>12000</v>
      </c>
      <c r="J52" s="203">
        <v>2012</v>
      </c>
    </row>
    <row r="53" spans="2:10" x14ac:dyDescent="0.3">
      <c r="B53" s="402">
        <v>27</v>
      </c>
      <c r="C53" s="404" t="s">
        <v>490</v>
      </c>
      <c r="D53" s="404" t="s">
        <v>417</v>
      </c>
      <c r="E53" s="402">
        <v>1</v>
      </c>
      <c r="F53" s="402">
        <v>3</v>
      </c>
      <c r="G53" s="201" t="s">
        <v>463</v>
      </c>
      <c r="H53" s="402" t="s">
        <v>424</v>
      </c>
      <c r="I53" s="408">
        <v>11000</v>
      </c>
      <c r="J53" s="402">
        <v>2012</v>
      </c>
    </row>
    <row r="54" spans="2:10" ht="15" thickBot="1" x14ac:dyDescent="0.35">
      <c r="B54" s="403"/>
      <c r="C54" s="405"/>
      <c r="D54" s="405"/>
      <c r="E54" s="403"/>
      <c r="F54" s="403"/>
      <c r="G54" s="203" t="s">
        <v>491</v>
      </c>
      <c r="H54" s="403"/>
      <c r="I54" s="409"/>
      <c r="J54" s="403"/>
    </row>
    <row r="55" spans="2:10" ht="15" thickBot="1" x14ac:dyDescent="0.35">
      <c r="B55" s="215">
        <v>28</v>
      </c>
      <c r="C55" s="205" t="s">
        <v>492</v>
      </c>
      <c r="D55" s="205" t="s">
        <v>493</v>
      </c>
      <c r="E55" s="203">
        <v>1</v>
      </c>
      <c r="F55" s="203">
        <v>1.4</v>
      </c>
      <c r="G55" s="203" t="s">
        <v>494</v>
      </c>
      <c r="H55" s="203" t="s">
        <v>424</v>
      </c>
      <c r="I55" s="206">
        <v>5000</v>
      </c>
      <c r="J55" s="203">
        <v>2013</v>
      </c>
    </row>
    <row r="56" spans="2:10" x14ac:dyDescent="0.3">
      <c r="B56" s="402">
        <v>29</v>
      </c>
      <c r="C56" s="404" t="s">
        <v>139</v>
      </c>
      <c r="D56" s="404" t="s">
        <v>495</v>
      </c>
      <c r="E56" s="402">
        <v>1</v>
      </c>
      <c r="F56" s="402">
        <v>3</v>
      </c>
      <c r="G56" s="202" t="s">
        <v>430</v>
      </c>
      <c r="H56" s="402" t="s">
        <v>424</v>
      </c>
      <c r="I56" s="408">
        <v>5000</v>
      </c>
      <c r="J56" s="402">
        <v>2014</v>
      </c>
    </row>
    <row r="57" spans="2:10" ht="15" thickBot="1" x14ac:dyDescent="0.35">
      <c r="B57" s="403"/>
      <c r="C57" s="405"/>
      <c r="D57" s="405"/>
      <c r="E57" s="403"/>
      <c r="F57" s="403"/>
      <c r="G57" s="204" t="s">
        <v>496</v>
      </c>
      <c r="H57" s="403"/>
      <c r="I57" s="409"/>
      <c r="J57" s="403"/>
    </row>
    <row r="58" spans="2:10" x14ac:dyDescent="0.3">
      <c r="B58" s="402">
        <v>27</v>
      </c>
      <c r="C58" s="404" t="s">
        <v>497</v>
      </c>
      <c r="D58" s="404" t="s">
        <v>498</v>
      </c>
      <c r="E58" s="402">
        <v>1</v>
      </c>
      <c r="F58" s="402">
        <v>3</v>
      </c>
      <c r="G58" s="210" t="s">
        <v>463</v>
      </c>
      <c r="H58" s="402" t="s">
        <v>424</v>
      </c>
      <c r="I58" s="408">
        <v>15000</v>
      </c>
      <c r="J58" s="402">
        <v>2018</v>
      </c>
    </row>
    <row r="59" spans="2:10" ht="15" thickBot="1" x14ac:dyDescent="0.35">
      <c r="B59" s="403"/>
      <c r="C59" s="405"/>
      <c r="D59" s="405"/>
      <c r="E59" s="403"/>
      <c r="F59" s="403"/>
      <c r="G59" s="207" t="s">
        <v>499</v>
      </c>
      <c r="H59" s="403"/>
      <c r="I59" s="409"/>
      <c r="J59" s="403"/>
    </row>
    <row r="60" spans="2:10" x14ac:dyDescent="0.3">
      <c r="B60" s="402">
        <v>28</v>
      </c>
      <c r="C60" s="404" t="s">
        <v>500</v>
      </c>
      <c r="D60" s="404" t="s">
        <v>501</v>
      </c>
      <c r="E60" s="402">
        <v>1</v>
      </c>
      <c r="F60" s="402">
        <v>3</v>
      </c>
      <c r="G60" s="210" t="s">
        <v>463</v>
      </c>
      <c r="H60" s="402" t="s">
        <v>424</v>
      </c>
      <c r="I60" s="408">
        <v>15000</v>
      </c>
      <c r="J60" s="402">
        <v>2019</v>
      </c>
    </row>
    <row r="61" spans="2:10" ht="15" thickBot="1" x14ac:dyDescent="0.35">
      <c r="B61" s="403"/>
      <c r="C61" s="405"/>
      <c r="D61" s="405"/>
      <c r="E61" s="403"/>
      <c r="F61" s="403"/>
      <c r="G61" s="207" t="s">
        <v>499</v>
      </c>
      <c r="H61" s="403"/>
      <c r="I61" s="409"/>
      <c r="J61" s="403"/>
    </row>
    <row r="62" spans="2:10" ht="15" thickBot="1" x14ac:dyDescent="0.35">
      <c r="B62" s="215"/>
      <c r="C62" s="205"/>
      <c r="D62" s="205"/>
      <c r="E62" s="203"/>
      <c r="F62" s="203"/>
      <c r="G62" s="203"/>
      <c r="H62" s="203"/>
      <c r="I62" s="213">
        <f>SUM(I4:I60)</f>
        <v>387000</v>
      </c>
      <c r="J62" s="203"/>
    </row>
    <row r="63" spans="2:10" x14ac:dyDescent="0.3">
      <c r="B63" s="212"/>
      <c r="C63"/>
      <c r="D63"/>
      <c r="E63"/>
      <c r="F63"/>
      <c r="G63"/>
      <c r="H63"/>
      <c r="I63"/>
      <c r="J63"/>
    </row>
  </sheetData>
  <mergeCells count="189">
    <mergeCell ref="H58:H59"/>
    <mergeCell ref="I58:I59"/>
    <mergeCell ref="J58:J59"/>
    <mergeCell ref="B60:B61"/>
    <mergeCell ref="C60:C61"/>
    <mergeCell ref="D60:D61"/>
    <mergeCell ref="E60:E61"/>
    <mergeCell ref="F60:F61"/>
    <mergeCell ref="H60:H61"/>
    <mergeCell ref="I60:I61"/>
    <mergeCell ref="J60:J61"/>
    <mergeCell ref="B58:B59"/>
    <mergeCell ref="C58:C59"/>
    <mergeCell ref="D58:D59"/>
    <mergeCell ref="E58:E59"/>
    <mergeCell ref="F58:F59"/>
    <mergeCell ref="H53:H54"/>
    <mergeCell ref="I53:I54"/>
    <mergeCell ref="J53:J54"/>
    <mergeCell ref="B56:B57"/>
    <mergeCell ref="C56:C57"/>
    <mergeCell ref="D56:D57"/>
    <mergeCell ref="E56:E57"/>
    <mergeCell ref="F56:F57"/>
    <mergeCell ref="H56:H57"/>
    <mergeCell ref="I56:I57"/>
    <mergeCell ref="J56:J57"/>
    <mergeCell ref="B53:B54"/>
    <mergeCell ref="C53:C54"/>
    <mergeCell ref="D53:D54"/>
    <mergeCell ref="E53:E54"/>
    <mergeCell ref="F53:F54"/>
    <mergeCell ref="H44:H45"/>
    <mergeCell ref="I44:I45"/>
    <mergeCell ref="J44:J45"/>
    <mergeCell ref="B47:B48"/>
    <mergeCell ref="C47:C48"/>
    <mergeCell ref="D47:D48"/>
    <mergeCell ref="E47:E48"/>
    <mergeCell ref="F47:F48"/>
    <mergeCell ref="H47:H48"/>
    <mergeCell ref="I47:I48"/>
    <mergeCell ref="J47:J48"/>
    <mergeCell ref="B44:B45"/>
    <mergeCell ref="C44:C45"/>
    <mergeCell ref="D44:D45"/>
    <mergeCell ref="E44:E45"/>
    <mergeCell ref="F44:F45"/>
    <mergeCell ref="H40:H41"/>
    <mergeCell ref="I40:I41"/>
    <mergeCell ref="J40:J41"/>
    <mergeCell ref="B42:B43"/>
    <mergeCell ref="C42:C43"/>
    <mergeCell ref="D42:D43"/>
    <mergeCell ref="E42:E43"/>
    <mergeCell ref="F42:F43"/>
    <mergeCell ref="H42:H43"/>
    <mergeCell ref="I42:I43"/>
    <mergeCell ref="J42:J43"/>
    <mergeCell ref="B40:B41"/>
    <mergeCell ref="C40:C41"/>
    <mergeCell ref="D40:D41"/>
    <mergeCell ref="E40:E41"/>
    <mergeCell ref="F40:F41"/>
    <mergeCell ref="H36:H37"/>
    <mergeCell ref="I36:I37"/>
    <mergeCell ref="J36:J37"/>
    <mergeCell ref="B38:B39"/>
    <mergeCell ref="C38:C39"/>
    <mergeCell ref="D38:D39"/>
    <mergeCell ref="E38:E39"/>
    <mergeCell ref="F38:F39"/>
    <mergeCell ref="I38:I39"/>
    <mergeCell ref="J38:J39"/>
    <mergeCell ref="B36:B37"/>
    <mergeCell ref="C36:C37"/>
    <mergeCell ref="D36:D37"/>
    <mergeCell ref="E36:E37"/>
    <mergeCell ref="F36:F37"/>
    <mergeCell ref="G32:G33"/>
    <mergeCell ref="I32:I33"/>
    <mergeCell ref="J32:J33"/>
    <mergeCell ref="B34:B35"/>
    <mergeCell ref="C34:C35"/>
    <mergeCell ref="D34:D35"/>
    <mergeCell ref="E34:E35"/>
    <mergeCell ref="F34:F35"/>
    <mergeCell ref="H34:H35"/>
    <mergeCell ref="I34:I35"/>
    <mergeCell ref="J34:J35"/>
    <mergeCell ref="B32:B33"/>
    <mergeCell ref="C32:C33"/>
    <mergeCell ref="D32:D33"/>
    <mergeCell ref="E32:E33"/>
    <mergeCell ref="F32:F33"/>
    <mergeCell ref="I26:I28"/>
    <mergeCell ref="J26:J28"/>
    <mergeCell ref="B29:B31"/>
    <mergeCell ref="C29:C31"/>
    <mergeCell ref="D29:D31"/>
    <mergeCell ref="E29:E31"/>
    <mergeCell ref="F29:F31"/>
    <mergeCell ref="H29:H31"/>
    <mergeCell ref="I29:I31"/>
    <mergeCell ref="J29:J31"/>
    <mergeCell ref="B26:B28"/>
    <mergeCell ref="C26:C28"/>
    <mergeCell ref="D26:D28"/>
    <mergeCell ref="E26:E28"/>
    <mergeCell ref="F26:F28"/>
    <mergeCell ref="H21:H22"/>
    <mergeCell ref="I21:I22"/>
    <mergeCell ref="J21:J22"/>
    <mergeCell ref="B24:B25"/>
    <mergeCell ref="C24:C25"/>
    <mergeCell ref="D24:D25"/>
    <mergeCell ref="E24:E25"/>
    <mergeCell ref="F24:F25"/>
    <mergeCell ref="H24:H25"/>
    <mergeCell ref="I24:I25"/>
    <mergeCell ref="J24:J25"/>
    <mergeCell ref="B21:B22"/>
    <mergeCell ref="C21:C22"/>
    <mergeCell ref="D21:D22"/>
    <mergeCell ref="E21:E22"/>
    <mergeCell ref="F21:F22"/>
    <mergeCell ref="I16:I18"/>
    <mergeCell ref="J16:J18"/>
    <mergeCell ref="B19:B20"/>
    <mergeCell ref="C19:C20"/>
    <mergeCell ref="D19:D20"/>
    <mergeCell ref="E19:E20"/>
    <mergeCell ref="F19:F20"/>
    <mergeCell ref="H19:H20"/>
    <mergeCell ref="I19:I20"/>
    <mergeCell ref="J19:J20"/>
    <mergeCell ref="B16:B18"/>
    <mergeCell ref="C16:C18"/>
    <mergeCell ref="D16:D18"/>
    <mergeCell ref="E16:E18"/>
    <mergeCell ref="F16:F18"/>
    <mergeCell ref="I12:I13"/>
    <mergeCell ref="J12:J13"/>
    <mergeCell ref="B14:B15"/>
    <mergeCell ref="C14:C15"/>
    <mergeCell ref="D14:D15"/>
    <mergeCell ref="E14:E15"/>
    <mergeCell ref="F14:F15"/>
    <mergeCell ref="H14:H15"/>
    <mergeCell ref="I14:I15"/>
    <mergeCell ref="J14:J15"/>
    <mergeCell ref="B12:B13"/>
    <mergeCell ref="C12:C13"/>
    <mergeCell ref="D12:D13"/>
    <mergeCell ref="E12:E13"/>
    <mergeCell ref="F12:F13"/>
    <mergeCell ref="B10:B11"/>
    <mergeCell ref="C10:C11"/>
    <mergeCell ref="D10:D11"/>
    <mergeCell ref="E10:E11"/>
    <mergeCell ref="F10:F11"/>
    <mergeCell ref="H10:H11"/>
    <mergeCell ref="I10:I11"/>
    <mergeCell ref="J10:J11"/>
    <mergeCell ref="B8:B9"/>
    <mergeCell ref="C8:C9"/>
    <mergeCell ref="D8:D9"/>
    <mergeCell ref="E8:E9"/>
    <mergeCell ref="F8:F9"/>
    <mergeCell ref="B6:B7"/>
    <mergeCell ref="C6:C7"/>
    <mergeCell ref="D6:D7"/>
    <mergeCell ref="E6:E7"/>
    <mergeCell ref="F6:F7"/>
    <mergeCell ref="H6:H7"/>
    <mergeCell ref="I6:I7"/>
    <mergeCell ref="J6:J7"/>
    <mergeCell ref="H8:H9"/>
    <mergeCell ref="I8:I9"/>
    <mergeCell ref="J8:J9"/>
    <mergeCell ref="B1:I1"/>
    <mergeCell ref="B4:B5"/>
    <mergeCell ref="C4:C5"/>
    <mergeCell ref="D4:D5"/>
    <mergeCell ref="E4:E5"/>
    <mergeCell ref="F4:F5"/>
    <mergeCell ref="G4:G5"/>
    <mergeCell ref="I4:I5"/>
    <mergeCell ref="J4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1</vt:i4>
      </vt:variant>
    </vt:vector>
  </HeadingPairs>
  <TitlesOfParts>
    <vt:vector size="10" baseType="lpstr">
      <vt:lpstr>SKUPAJ</vt:lpstr>
      <vt:lpstr>LC in JP v Občini</vt:lpstr>
      <vt:lpstr>Infrastruktura</vt:lpstr>
      <vt:lpstr>Otroška Igrišča</vt:lpstr>
      <vt:lpstr>BUS postajališča</vt:lpstr>
      <vt:lpstr>Črpališča</vt:lpstr>
      <vt:lpstr>Javne prireditve</vt:lpstr>
      <vt:lpstr>Poslovni prostori</vt:lpstr>
      <vt:lpstr>Črpališča vodovod</vt:lpstr>
      <vt:lpstr>SKUPAJ!_Hlk55468823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Boris Krajnc</cp:lastModifiedBy>
  <dcterms:created xsi:type="dcterms:W3CDTF">2015-09-21T12:24:13Z</dcterms:created>
  <dcterms:modified xsi:type="dcterms:W3CDTF">2020-11-29T10:58:24Z</dcterms:modified>
</cp:coreProperties>
</file>